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showSheetTabs="0" xWindow="65521" yWindow="65521" windowWidth="7650" windowHeight="9135" activeTab="0"/>
  </bookViews>
  <sheets>
    <sheet name="Price" sheetId="1" r:id="rId1"/>
  </sheets>
  <definedNames>
    <definedName name="ALLOK">'Price'!$I$2</definedName>
    <definedName name="APP1ERR">'Price'!$F$8</definedName>
    <definedName name="APP2ERR">'Price'!$I$10</definedName>
    <definedName name="APP3ERR">'Price'!$I$13</definedName>
    <definedName name="APP4ERR">'Price'!$I$16</definedName>
    <definedName name="APP5ERR">'Price'!$F$20</definedName>
    <definedName name="APP6ERR">'Price'!$I$22</definedName>
    <definedName name="APP7ERR">'Price'!$I$25</definedName>
    <definedName name="APP8ERR">'Price'!$I$28</definedName>
    <definedName name="APPERR">'Price'!$H$7</definedName>
    <definedName name="BASELIST">'Price'!$I$8</definedName>
    <definedName name="ChassisCount">'Price'!$I$20</definedName>
    <definedName name="Copyright_Polycom_2002">'Price'!$A$1</definedName>
    <definedName name="Count10M">'Price'!$H$17</definedName>
    <definedName name="CountRM">'Price'!$H$15</definedName>
    <definedName name="CountSYM">'Price'!$H$16</definedName>
    <definedName name="ECSMASTER">'Price'!$D$68</definedName>
    <definedName name="G324num">'Price'!$O$7</definedName>
    <definedName name="G3LIST">'Price'!$R$8</definedName>
    <definedName name="GK2ERR">'Price'!$S$10</definedName>
    <definedName name="GK2INDEX">'Price'!$O$10</definedName>
    <definedName name="GK2LIST">'Price'!$P$10</definedName>
    <definedName name="GK3ERR">'Price'!$S$13</definedName>
    <definedName name="GK3INDEX">'Price'!$O$13</definedName>
    <definedName name="GK3LIST">'Price'!$P$13</definedName>
    <definedName name="GK4ERR">'Price'!$S$16</definedName>
    <definedName name="GK4INDEX">'Price'!$O$16</definedName>
    <definedName name="GK4LIST">'Price'!$P$16</definedName>
    <definedName name="GK6ERR">'Price'!$S$22</definedName>
    <definedName name="GK6LIST">'Price'!$P$22</definedName>
    <definedName name="GK7ERR">'Price'!$S$25</definedName>
    <definedName name="GK7LIST">'Price'!$P$25</definedName>
    <definedName name="GK8ERR">'Price'!$S$28</definedName>
    <definedName name="GK8LIST">'Price'!$P$28</definedName>
    <definedName name="GWLIST">'Price'!$Q$8</definedName>
    <definedName name="GWnum">'Price'!$Q$7</definedName>
    <definedName name="MCULIST">'Price'!$P$6</definedName>
    <definedName name="MCUnum">'Price'!$Q$6</definedName>
    <definedName name="NOECS">'Price'!$D$55</definedName>
    <definedName name="pATM15">'Price'!$D$41</definedName>
    <definedName name="pATM20">'Price'!$I$48</definedName>
    <definedName name="pATM30">'Price'!$D$42</definedName>
    <definedName name="ProdType">'Price'!$C$2</definedName>
    <definedName name="S1LIST">'Price'!$J$6</definedName>
    <definedName name="S2LIST">'Price'!$J$9</definedName>
    <definedName name="S3LIST">'Price'!$J$12</definedName>
    <definedName name="S4LIST">'Price'!$J$15</definedName>
    <definedName name="S5LIST">'Price'!$J$18</definedName>
    <definedName name="S6LIST">'Price'!$J$21</definedName>
    <definedName name="S7LIST">'Price'!$J$24</definedName>
    <definedName name="S8LIST">'Price'!$J$27</definedName>
    <definedName name="Total10m">'Price'!$H$14</definedName>
    <definedName name="TotalGK">'Price'!$H$9</definedName>
    <definedName name="TotalRM">'Price'!$H$12</definedName>
    <definedName name="TotalSYM">'Price'!$H$13</definedName>
    <definedName name="TotalT120">'Price'!$H$10</definedName>
    <definedName name="TX1ERR">'Price'!$L$8</definedName>
    <definedName name="TX1LIST">'Price'!$N$8</definedName>
    <definedName name="TX1PORTS">'Price'!$K$8</definedName>
    <definedName name="TX1TYPE">'Price'!$K$6</definedName>
    <definedName name="TX1VOICE">'Price'!$M$8</definedName>
    <definedName name="TX2ERR">'Price'!$L$11</definedName>
    <definedName name="TX2LIST">'Price'!$N$11</definedName>
    <definedName name="TX2PORTS">'Price'!$K$11</definedName>
    <definedName name="TX2TYPE">'Price'!$K$9</definedName>
    <definedName name="TX2VOICE">'Price'!$M$11</definedName>
    <definedName name="TX3ERR">'Price'!$L$14</definedName>
    <definedName name="TX3LIST">'Price'!$N$14</definedName>
    <definedName name="TX3PORTS">'Price'!$K$14</definedName>
    <definedName name="TX3TYPE">'Price'!$K$12</definedName>
    <definedName name="TX3VOICE">'Price'!$M$14</definedName>
    <definedName name="TX4ERR">'Price'!$L$17</definedName>
    <definedName name="TX4LIST">'Price'!$N$17</definedName>
    <definedName name="TX4PORTS">'Price'!$K$17</definedName>
    <definedName name="TX4TYPE">'Price'!$K$15</definedName>
    <definedName name="TX4VOICE">'Price'!$M$17</definedName>
    <definedName name="TX5ERR">'Price'!$L$20</definedName>
    <definedName name="TX5LIST">'Price'!$N$20</definedName>
    <definedName name="TX5PORTS">'Price'!$K$20</definedName>
    <definedName name="TX5TYPE">'Price'!$K$18</definedName>
    <definedName name="TX5VOICE">'Price'!$M$20</definedName>
    <definedName name="TX6ERR">'Price'!$L$23</definedName>
    <definedName name="TX6LIST">'Price'!$N$23</definedName>
    <definedName name="TX6PORTS">'Price'!$K$23</definedName>
    <definedName name="TX6TYPE">'Price'!$K$21</definedName>
    <definedName name="TX6VOICE">'Price'!$M$23</definedName>
    <definedName name="TX7ERR">'Price'!$L$26</definedName>
    <definedName name="TX7LIST">'Price'!$N$26</definedName>
    <definedName name="TX7PORTS">'Price'!$K$26</definedName>
    <definedName name="TX7TYPE">'Price'!$K$24</definedName>
    <definedName name="TX7VOICE">'Price'!$M$26</definedName>
    <definedName name="TX8ERR">'Price'!$L$29</definedName>
    <definedName name="TX8LIST">'Price'!$N$29</definedName>
    <definedName name="TX8PORTS">'Price'!$K$29</definedName>
    <definedName name="TX8TYPE">'Price'!$K$27</definedName>
    <definedName name="TX8VOICE">'Price'!$M$29</definedName>
    <definedName name="vATM15">'Price'!$E$41</definedName>
    <definedName name="vATM30">'Price'!$E$42</definedName>
    <definedName name="vE1">'Price'!$I$47</definedName>
    <definedName name="VID2ERR">'Price'!$I$11</definedName>
    <definedName name="VID3ERR">'Price'!$I$14</definedName>
    <definedName name="VID4ERR">'Price'!$I$17</definedName>
    <definedName name="VID6ERR">'Price'!$I$23</definedName>
    <definedName name="VID7ERR">'Price'!$I$26</definedName>
    <definedName name="VID8ERR">'Price'!$I$29</definedName>
    <definedName name="VIDERR">'Price'!$G$6</definedName>
    <definedName name="vT1">'Price'!$I$46</definedName>
    <definedName name="xASNTpro">'Price'!$M$4</definedName>
    <definedName name="xASNTsvr">'Price'!$N$4</definedName>
    <definedName name="xATM0">'Price'!$T$6</definedName>
    <definedName name="xATM15">'Price'!$T$7</definedName>
    <definedName name="xATM20">'Price'!$T$9</definedName>
    <definedName name="xATM30">'Price'!$T$8</definedName>
    <definedName name="xGW320">'Price'!$G$4</definedName>
    <definedName name="xGW324">'Price'!$H$4</definedName>
    <definedName name="xGWE1">'Price'!$H$4</definedName>
    <definedName name="xGWT1">'Price'!$G$4</definedName>
    <definedName name="xGWT1E1">'Price'!$G$8</definedName>
    <definedName name="xIPVC">'Price'!$C$4</definedName>
    <definedName name="xISas">'Price'!$U$9</definedName>
    <definedName name="xISgw">'Price'!$U$7</definedName>
    <definedName name="xISmcu">'Price'!$U$6</definedName>
    <definedName name="xISmvp">'Price'!$U$10</definedName>
    <definedName name="xISvpm">'Price'!$U$11</definedName>
    <definedName name="xISvps">'Price'!$U$8</definedName>
    <definedName name="xMCU100">'Price'!$F$4</definedName>
    <definedName name="xMCU30">'Price'!$D$4</definedName>
    <definedName name="xMCU60">'Price'!$E$4</definedName>
    <definedName name="xMVP">'Price'!$L$4</definedName>
    <definedName name="xNONE">'Price'!$I$4</definedName>
    <definedName name="xViaIP">'Price'!$B$4</definedName>
    <definedName name="xVPS10m">'Price'!$K$4</definedName>
    <definedName name="xVPSrm">'Price'!$O$4</definedName>
    <definedName name="xVPSsym">'Price'!$J$4</definedName>
    <definedName name="zASNTpro">'Price'!$J$49</definedName>
    <definedName name="zASNTsvr">'Price'!$J$50</definedName>
    <definedName name="zATM15">'Price'!$J$41</definedName>
    <definedName name="zATM20">'Price'!$J$48</definedName>
    <definedName name="zATM30">'Price'!$J$42</definedName>
    <definedName name="zCHASSIS">'Price'!$J$33</definedName>
    <definedName name="zGW320">'Price'!$J$46</definedName>
    <definedName name="zGW324">'Price'!$J$47</definedName>
    <definedName name="zMCU100">'Price'!$J$39</definedName>
    <definedName name="zMCU30">'Price'!$J$35</definedName>
    <definedName name="zMCU60">'Price'!$J$37</definedName>
    <definedName name="zMVP">'Price'!$J$45</definedName>
    <definedName name="zPOWER">'Price'!$J$34</definedName>
    <definedName name="zVPS">'Price'!$J$43</definedName>
    <definedName name="zVPS10m">'Price'!$J$44</definedName>
  </definedNames>
  <calcPr fullCalcOnLoad="1"/>
</workbook>
</file>

<file path=xl/comments1.xml><?xml version="1.0" encoding="utf-8"?>
<comments xmlns="http://schemas.openxmlformats.org/spreadsheetml/2006/main">
  <authors>
    <author>Kirk Topits.</author>
  </authors>
  <commentList>
    <comment ref="F5" authorId="0">
      <text>
        <r>
          <rPr>
            <b/>
            <sz val="8"/>
            <rFont val="Tahoma"/>
            <family val="2"/>
          </rPr>
          <t>DUAL PRI gateway
includes bonding,IVR for 30 ports, IP Precedance, RAI/RAC.</t>
        </r>
      </text>
    </comment>
    <comment ref="E5" authorId="0">
      <text>
        <r>
          <rPr>
            <b/>
            <sz val="8"/>
            <rFont val="Tahoma"/>
            <family val="2"/>
          </rPr>
          <t>Software CP
Only QUAD 4x4
The first 3 participants get the first three cells, All others are voice switched in the forth cell.
128 =&gt; 105 QCIF in =&gt; 420K CIF out
256 =&gt; ??? QCIF in =&gt; ???M CIF out
384 =&gt; 320 QCIF in =&gt; 1.28M CIF out</t>
        </r>
      </text>
    </comment>
    <comment ref="D5" authorId="0">
      <text>
        <r>
          <rPr>
            <b/>
            <sz val="8"/>
            <rFont val="Tahoma"/>
            <family val="2"/>
          </rPr>
          <t>Version 3 MCU dynamically support H.323 and SIP signalling protocols.</t>
        </r>
      </text>
    </comment>
    <comment ref="I5" authorId="0">
      <text>
        <r>
          <rPr>
            <b/>
            <sz val="8"/>
            <rFont val="Tahoma"/>
            <family val="2"/>
          </rPr>
          <t>Window 2K server - delivered with either Windows 2000 Professional or Server</t>
        </r>
      </text>
    </comment>
    <comment ref="N5" authorId="0">
      <text>
        <r>
          <rPr>
            <b/>
            <sz val="8"/>
            <rFont val="Tahoma"/>
            <family val="2"/>
          </rPr>
          <t xml:space="preserve">AUDIO TRANSCODER MODLE
FOR GATEWAY.  Also provides AGC (Automatic Gain Control).
No Audio Transcoding
WAN&lt;============&gt;LAN
 G.711 (64K) &lt;=&gt; G.711 (64K)
 G.722 (64K) &lt;=&gt; G.722 (64K)
With Audio TX on VOICE calls
 G.711 (64K) &lt;=&gt; G.723 (23K)
With Audio TX on VIDEO calls
 G.728 (23K) &lt;=&gt; G.711 (64K)
</t>
        </r>
      </text>
    </comment>
    <comment ref="M5" authorId="0">
      <text>
        <r>
          <rPr>
            <b/>
            <sz val="8"/>
            <rFont val="Tahoma"/>
            <family val="2"/>
          </rPr>
          <t>AUDIO TRANSCODER MODLE
FOR MCU30/60.  Also provides AGC (Automatic Gain Control).
No Transcoding
 G.711 (64) &lt;=&gt; G.711 (64)
 G.722 (64) &lt;=&gt; G.722 (64)
Video Call Transcoding
 G.711( 64) &lt;=&gt; G.722 (64)
 G.711 (64) &lt;=&gt; G.723 XOR G.728(23)
Voice Call transcoding
 G.711 (64) &lt;=&gt; G.729 (8)</t>
        </r>
      </text>
    </comment>
    <comment ref="C1" authorId="0">
      <text>
        <r>
          <rPr>
            <b/>
            <sz val="8"/>
            <rFont val="Tahoma"/>
            <family val="2"/>
          </rPr>
          <t xml:space="preserve">
RadVision  viaIP
</t>
        </r>
        <r>
          <rPr>
            <b/>
            <sz val="8"/>
            <color indexed="12"/>
            <rFont val="Tahoma"/>
            <family val="2"/>
          </rPr>
          <t>www.radvision.com/f_products/f_networking.php3</t>
        </r>
        <r>
          <rPr>
            <b/>
            <sz val="8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2"/>
          </rPr>
          <t xml:space="preserve">
Cisco IP/VC 3540
</t>
        </r>
        <r>
          <rPr>
            <b/>
            <sz val="8"/>
            <color indexed="12"/>
            <rFont val="Tahoma"/>
            <family val="2"/>
          </rPr>
          <t>www.cisco.com/univercd/cc/td/doc/product/ipvc/ipvc3540/index.htm</t>
        </r>
        <r>
          <rPr>
            <b/>
            <sz val="8"/>
            <rFont val="Tahoma"/>
            <family val="2"/>
          </rPr>
          <t xml:space="preserve">
</t>
        </r>
      </text>
    </comment>
    <comment ref="C74" authorId="0">
      <text>
        <r>
          <rPr>
            <b/>
            <sz val="8"/>
            <rFont val="Tahoma"/>
            <family val="0"/>
          </rPr>
          <t>SQL Server Recommended!</t>
        </r>
      </text>
    </comment>
    <comment ref="O41" authorId="0">
      <text>
        <r>
          <rPr>
            <b/>
            <sz val="8"/>
            <rFont val="Tahoma"/>
            <family val="0"/>
          </rPr>
          <t>SWCP only supports
105K vid + 23k aud
192K vid + 64k aud
320K vid + 64K aud
All EP at SAME speed</t>
        </r>
      </text>
    </comment>
    <comment ref="N76" authorId="0">
      <text>
        <r>
          <rPr>
            <b/>
            <sz val="8"/>
            <rFont val="Tahoma"/>
            <family val="0"/>
          </rPr>
          <t>USD Total for
CHASSIS and
Internal Options</t>
        </r>
      </text>
    </comment>
    <comment ref="P76" authorId="0">
      <text>
        <r>
          <rPr>
            <b/>
            <sz val="8"/>
            <rFont val="Tahoma"/>
            <family val="0"/>
          </rPr>
          <t>USD Total for
External Options
Requires separate
server(s). Not
Included!</t>
        </r>
      </text>
    </comment>
    <comment ref="R76" authorId="0">
      <text>
        <r>
          <rPr>
            <b/>
            <sz val="8"/>
            <rFont val="Tahoma"/>
            <family val="0"/>
          </rPr>
          <t>USD Total for
ALL options</t>
        </r>
      </text>
    </comment>
    <comment ref="O5" authorId="0">
      <text>
        <r>
          <rPr>
            <b/>
            <sz val="8"/>
            <rFont val="Tahoma"/>
            <family val="2"/>
          </rPr>
          <t xml:space="preserve">RSS - Reservation and Scheduling Server Software.
This is OEM of GlobalScheduling GSS Software from Forgent. See </t>
        </r>
        <r>
          <rPr>
            <b/>
            <sz val="8"/>
            <color indexed="12"/>
            <rFont val="Tahoma"/>
            <family val="2"/>
          </rPr>
          <t xml:space="preserve">www.globalscheduling.com
</t>
        </r>
        <r>
          <rPr>
            <b/>
            <sz val="8"/>
            <color indexed="8"/>
            <rFont val="Tahoma"/>
            <family val="2"/>
          </rPr>
          <t>Can run on ASNT, but NOT recommended - many limitations.</t>
        </r>
      </text>
    </comment>
    <comment ref="D46" authorId="0">
      <text>
        <r>
          <rPr>
            <b/>
            <sz val="8"/>
            <rFont val="Tahoma"/>
            <family val="0"/>
          </rPr>
          <t>GW T1 @ 128</t>
        </r>
      </text>
    </comment>
    <comment ref="D47" authorId="0">
      <text>
        <r>
          <rPr>
            <b/>
            <sz val="8"/>
            <rFont val="Tahoma"/>
            <family val="0"/>
          </rPr>
          <t>GW E1 @ 128</t>
        </r>
      </text>
    </comment>
    <comment ref="H5" authorId="0">
      <text>
        <r>
          <rPr>
            <b/>
            <sz val="8"/>
            <rFont val="Tahoma"/>
            <family val="2"/>
          </rPr>
          <t>VPS - Video Processing Server
Provides either:
R-M  rate matching for one alternate video
         speed in Voice Activated Conferences
  *OR* 
SYM symmetric continuous presence video
         for GATEWAY OR CASCADE participants.
    In V2.2 provides 17 Layouts-
       Full Screen
      Quad
      Any Quad can be a Quad
      Changable on-the-fly
Uses a dedicated asNT module with Win 2K Prof.
Each VPS must be assigned to a specific MCU</t>
        </r>
      </text>
    </comment>
    <comment ref="Q46" authorId="0">
      <text>
        <r>
          <rPr>
            <b/>
            <sz val="8"/>
            <rFont val="Tahoma"/>
            <family val="0"/>
          </rPr>
          <t>Gateway Supports:
With BONDING
128 (2B), 192(3B), 256(4B), 320(5B), 384(6B), 512(8B),
Full T1, and Full E1.
WithOUT Bonding, 64K or 56K
x1,x2,x3,x4,x5,x6,x8,x12,x23,x30
Tandberg Downspeeding also supported.</t>
        </r>
      </text>
    </comment>
    <comment ref="C47" authorId="0">
      <text>
        <r>
          <rPr>
            <b/>
            <sz val="8"/>
            <rFont val="Tahoma"/>
            <family val="0"/>
          </rPr>
          <t>H.324 Gateway -
WCDMA or CDMA200 with AMR audio TO
H.323 with G.711 audio</t>
        </r>
      </text>
    </comment>
  </commentList>
</comments>
</file>

<file path=xl/sharedStrings.xml><?xml version="1.0" encoding="utf-8"?>
<sst xmlns="http://schemas.openxmlformats.org/spreadsheetml/2006/main" count="143" uniqueCount="103">
  <si>
    <t xml:space="preserve"> </t>
  </si>
  <si>
    <t>SLOT</t>
  </si>
  <si>
    <t>Quantity</t>
  </si>
  <si>
    <t>Totals</t>
  </si>
  <si>
    <t>GateKeeper Users</t>
  </si>
  <si>
    <t>GateKeeper Calls</t>
  </si>
  <si>
    <t>MCU Audio TX Ports</t>
  </si>
  <si>
    <t>DCS-60</t>
  </si>
  <si>
    <t>DCS-100</t>
  </si>
  <si>
    <t>DCS-300</t>
  </si>
  <si>
    <t>T.120 data ports</t>
  </si>
  <si>
    <t>T.120 data per Port</t>
  </si>
  <si>
    <t>Gatekeeper per Call</t>
  </si>
  <si>
    <t>Gatekeeper per User</t>
  </si>
  <si>
    <t>VPS</t>
  </si>
  <si>
    <t>Voice per Port</t>
  </si>
  <si>
    <t>128K VS per Port</t>
  </si>
  <si>
    <t>384K VS per Port</t>
  </si>
  <si>
    <t>768K VS per Port</t>
  </si>
  <si>
    <t>1.5M VS per Port</t>
  </si>
  <si>
    <t>2.0M VS per Port</t>
  </si>
  <si>
    <t>128K SWCP per Port</t>
  </si>
  <si>
    <t>384K SWCP per Port</t>
  </si>
  <si>
    <t>Audio TX per Port</t>
  </si>
  <si>
    <t>Audio TX per Session</t>
  </si>
  <si>
    <t>Application Capabilities</t>
  </si>
  <si>
    <t>Resources&gt;</t>
  </si>
  <si>
    <t>Calls&gt;</t>
  </si>
  <si>
    <t>T.120 Ports&gt;</t>
  </si>
  <si>
    <t>Audio Transcoder Modules</t>
  </si>
  <si>
    <t>PRI Circuits</t>
  </si>
  <si>
    <t>per PRI Circuit</t>
  </si>
  <si>
    <t>per 128K Video Session</t>
  </si>
  <si>
    <t>per 64K Voice Session</t>
  </si>
  <si>
    <t>per 384K Video Session</t>
  </si>
  <si>
    <t>Voice</t>
  </si>
  <si>
    <t>128K (7.5F) VS Video</t>
  </si>
  <si>
    <t>384K (15F) VS Video</t>
  </si>
  <si>
    <t>768K (30F) VS Video</t>
  </si>
  <si>
    <t>1.5M (30F) VS Video</t>
  </si>
  <si>
    <t>2.0M (30F) VS Video</t>
  </si>
  <si>
    <t>Application- Data Collaboration, Gatekeeper</t>
  </si>
  <si>
    <t>Voice TX (G.729) Ports</t>
  </si>
  <si>
    <t>ITEM</t>
  </si>
  <si>
    <t>Calculation Tables</t>
  </si>
  <si>
    <t>RateMatch Conf&gt;</t>
  </si>
  <si>
    <t>SymmetricCP Conf&gt;</t>
  </si>
  <si>
    <t>per RateMatch Conf</t>
  </si>
  <si>
    <t>1.5/2.0</t>
  </si>
  <si>
    <t>512/768</t>
  </si>
  <si>
    <t>128/cp</t>
  </si>
  <si>
    <t>256/cp</t>
  </si>
  <si>
    <t>384/cp</t>
  </si>
  <si>
    <t>Voice 64K (no TX)</t>
  </si>
  <si>
    <t>PS400-AC</t>
  </si>
  <si>
    <t>RSS Ports</t>
  </si>
  <si>
    <t>RSS per Port</t>
  </si>
  <si>
    <t>ASNT</t>
  </si>
  <si>
    <t>MCU</t>
  </si>
  <si>
    <t>GW</t>
  </si>
  <si>
    <t>per SymCP Conf</t>
  </si>
  <si>
    <t>Symmetric CP Confs</t>
  </si>
  <si>
    <t>Rate Match VA Confs</t>
  </si>
  <si>
    <t>EndPoints&gt;</t>
  </si>
  <si>
    <t>Registrations&gt;</t>
  </si>
  <si>
    <t>Base</t>
  </si>
  <si>
    <t>Device</t>
  </si>
  <si>
    <t>Billing</t>
  </si>
  <si>
    <t>VC Wizard - Scheduling and Reservation Software</t>
  </si>
  <si>
    <t>VC Wizard - Per MCU module</t>
  </si>
  <si>
    <t>VC Wizard - Billing based on Schedule</t>
  </si>
  <si>
    <t>320K / 1.28M SWCP</t>
  </si>
  <si>
    <t>Video 2B (128K)</t>
  </si>
  <si>
    <t>110K / 440K SWCP</t>
  </si>
  <si>
    <t>Video 2B + T.120</t>
  </si>
  <si>
    <t>Video 384K + T.120</t>
  </si>
  <si>
    <t>Video 384K (Bonded)</t>
  </si>
  <si>
    <t>per 128K Video + T.120</t>
  </si>
  <si>
    <t>per 384K Video + T.120</t>
  </si>
  <si>
    <t xml:space="preserve">* * *
* * * Polycom, Inc.    Confidential Information.  For internal purposes only. * * *
* * * Do not disclose outside of Polycom. * * *
* * * Polycom cannot guarantee the accuracy of this information. * * *
* * * </t>
  </si>
  <si>
    <t>Video 768K (Bonded)</t>
  </si>
  <si>
    <t>Video 1.5/2.0M (Bonded)</t>
  </si>
  <si>
    <t>per 768K Video Session</t>
  </si>
  <si>
    <t>per MB Video Session</t>
  </si>
  <si>
    <t>Video 256K (Bonded)</t>
  </si>
  <si>
    <t>per 256K Video Session</t>
  </si>
  <si>
    <t>Voice TX per Session</t>
  </si>
  <si>
    <t>Voice TX (G723.1)Ports</t>
  </si>
  <si>
    <t>Audio TX (G728)Ports</t>
  </si>
  <si>
    <t>Voice (G.711)</t>
  </si>
  <si>
    <t>Unit</t>
  </si>
  <si>
    <t>Per Call.</t>
  </si>
  <si>
    <t>H.323/H.320 GW Capabilities</t>
  </si>
  <si>
    <t>DCS-30</t>
  </si>
  <si>
    <t>MVP</t>
  </si>
  <si>
    <t>Advanced Video CP and Transcoding</t>
  </si>
  <si>
    <t>H.323/H.324 GW Capabilities</t>
  </si>
  <si>
    <t>Video 64K (no TX)</t>
  </si>
  <si>
    <t>per 64K Video Session</t>
  </si>
  <si>
    <t>VPS10/M</t>
  </si>
  <si>
    <t>H.632/MPEG4 TX for H.324M GW (0,1,2 per P20/M)</t>
  </si>
  <si>
    <t>H.323/SIP MCU Capabilities</t>
  </si>
  <si>
    <r>
      <t xml:space="preserve">* * * </t>
    </r>
    <r>
      <rPr>
        <b/>
        <sz val="10"/>
        <rFont val="Arial"/>
        <family val="2"/>
      </rPr>
      <t>Confidential.</t>
    </r>
    <r>
      <rPr>
        <sz val="10"/>
        <rFont val="Arial"/>
        <family val="2"/>
      </rPr>
      <t xml:space="preserve">   6/2003 N  RV3.0* * *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</si>
</sst>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&quot;$&quot;#,##0"/>
    <numFmt numFmtId="178" formatCode="&quot;$&quot;#,##0.00"/>
    <numFmt numFmtId="179" formatCode=";;;"/>
  </numFmts>
  <fonts count="27"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Verdana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16"/>
      <name val="Arial"/>
      <family val="2"/>
    </font>
    <font>
      <b/>
      <sz val="8"/>
      <color indexed="12"/>
      <name val="Tahoma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8"/>
      <name val="Tahoma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55"/>
        <bgColor indexed="23"/>
      </patternFill>
    </fill>
    <fill>
      <patternFill patternType="mediumGray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bgColor indexed="55"/>
      </patternFill>
    </fill>
    <fill>
      <patternFill patternType="solid">
        <fgColor indexed="45"/>
        <bgColor indexed="64"/>
      </patternFill>
    </fill>
  </fills>
  <borders count="198">
    <border>
      <left/>
      <right/>
      <top/>
      <bottom/>
      <diagonal/>
    </border>
    <border>
      <left style="medium"/>
      <right style="thin"/>
      <top style="thin"/>
      <bottom style="hair"/>
    </border>
    <border>
      <left style="thin"/>
      <right style="thick"/>
      <top style="thin"/>
      <bottom style="hair"/>
    </border>
    <border>
      <left style="medium"/>
      <right style="thin"/>
      <top style="hair"/>
      <bottom style="hair"/>
    </border>
    <border>
      <left style="thin"/>
      <right style="thick"/>
      <top style="hair"/>
      <bottom style="hair"/>
    </border>
    <border>
      <left style="medium"/>
      <right style="thin"/>
      <top style="hair"/>
      <bottom style="thin"/>
    </border>
    <border>
      <left style="thin"/>
      <right style="thick"/>
      <top style="hair"/>
      <bottom style="thin"/>
    </border>
    <border>
      <left style="thin"/>
      <right style="thick"/>
      <top>
        <color indexed="63"/>
      </top>
      <bottom style="hair"/>
    </border>
    <border>
      <left style="medium"/>
      <right style="thin"/>
      <top style="hair"/>
      <bottom style="thick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thin"/>
      <top style="medium"/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ck"/>
      <top style="thin"/>
      <bottom style="hair"/>
    </border>
    <border>
      <left style="thin"/>
      <right style="medium"/>
      <top style="hair"/>
      <bottom style="thick"/>
    </border>
    <border>
      <left>
        <color indexed="63"/>
      </left>
      <right style="thick"/>
      <top style="hair"/>
      <bottom style="thick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ck"/>
      <top style="medium"/>
      <bottom style="hair"/>
    </border>
    <border>
      <left style="thick"/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medium"/>
      <top style="thick"/>
      <bottom style="hair"/>
    </border>
    <border>
      <left style="medium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 style="thin"/>
      <bottom style="hair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hair"/>
      <right style="hair"/>
      <top style="hair"/>
      <bottom style="thin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hair"/>
    </border>
    <border>
      <left style="thick"/>
      <right style="medium"/>
      <top style="hair"/>
      <bottom style="hair"/>
    </border>
    <border>
      <left style="thick"/>
      <right style="medium"/>
      <top style="medium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 style="hair"/>
    </border>
    <border>
      <left style="thin"/>
      <right style="thick"/>
      <top style="hair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medium"/>
      <right>
        <color indexed="63"/>
      </right>
      <top style="hair"/>
      <bottom style="thick"/>
    </border>
    <border>
      <left style="hair"/>
      <right style="medium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 style="thick">
        <color indexed="13"/>
      </right>
      <top style="thick">
        <color indexed="1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thick"/>
      <bottom style="hair"/>
    </border>
    <border>
      <left style="thin"/>
      <right style="thick"/>
      <top style="thick"/>
      <bottom style="hair"/>
    </border>
    <border>
      <left style="hair"/>
      <right style="hair"/>
      <top style="thick"/>
      <bottom style="thin"/>
    </border>
    <border>
      <left style="hair"/>
      <right style="thin"/>
      <top style="thick"/>
      <bottom style="thin"/>
    </border>
    <border>
      <left style="thin"/>
      <right style="hair"/>
      <top style="thick"/>
      <bottom style="thin"/>
    </border>
    <border>
      <left style="thin"/>
      <right style="medium"/>
      <top style="thick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ck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 style="medium"/>
      <top style="hair"/>
      <bottom style="hair"/>
    </border>
    <border>
      <left style="thick"/>
      <right style="medium"/>
      <top style="hair"/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  <border>
      <left style="thick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ck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ck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177" fontId="5" fillId="2" borderId="1" xfId="0" applyNumberFormat="1" applyFont="1" applyFill="1" applyBorder="1" applyAlignment="1" applyProtection="1">
      <alignment/>
      <protection hidden="1"/>
    </xf>
    <xf numFmtId="177" fontId="5" fillId="2" borderId="2" xfId="0" applyNumberFormat="1" applyFont="1" applyFill="1" applyBorder="1" applyAlignment="1" applyProtection="1">
      <alignment/>
      <protection hidden="1"/>
    </xf>
    <xf numFmtId="177" fontId="5" fillId="2" borderId="3" xfId="0" applyNumberFormat="1" applyFont="1" applyFill="1" applyBorder="1" applyAlignment="1" applyProtection="1">
      <alignment/>
      <protection hidden="1"/>
    </xf>
    <xf numFmtId="177" fontId="5" fillId="2" borderId="4" xfId="0" applyNumberFormat="1" applyFont="1" applyFill="1" applyBorder="1" applyAlignment="1" applyProtection="1">
      <alignment/>
      <protection hidden="1"/>
    </xf>
    <xf numFmtId="177" fontId="5" fillId="2" borderId="5" xfId="0" applyNumberFormat="1" applyFont="1" applyFill="1" applyBorder="1" applyAlignment="1" applyProtection="1">
      <alignment/>
      <protection hidden="1"/>
    </xf>
    <xf numFmtId="177" fontId="5" fillId="2" borderId="6" xfId="0" applyNumberFormat="1" applyFont="1" applyFill="1" applyBorder="1" applyAlignment="1" applyProtection="1">
      <alignment/>
      <protection hidden="1"/>
    </xf>
    <xf numFmtId="177" fontId="5" fillId="2" borderId="7" xfId="0" applyNumberFormat="1" applyFont="1" applyFill="1" applyBorder="1" applyAlignment="1" applyProtection="1">
      <alignment/>
      <protection hidden="1"/>
    </xf>
    <xf numFmtId="177" fontId="5" fillId="2" borderId="8" xfId="0" applyNumberFormat="1" applyFont="1" applyFill="1" applyBorder="1" applyAlignment="1" applyProtection="1">
      <alignment/>
      <protection hidden="1"/>
    </xf>
    <xf numFmtId="1" fontId="2" fillId="3" borderId="9" xfId="0" applyNumberFormat="1" applyFont="1" applyFill="1" applyBorder="1" applyAlignment="1" applyProtection="1">
      <alignment horizontal="center"/>
      <protection hidden="1"/>
    </xf>
    <xf numFmtId="1" fontId="2" fillId="3" borderId="10" xfId="0" applyNumberFormat="1" applyFont="1" applyFill="1" applyBorder="1" applyAlignment="1" applyProtection="1">
      <alignment horizontal="center"/>
      <protection hidden="1"/>
    </xf>
    <xf numFmtId="1" fontId="2" fillId="3" borderId="11" xfId="0" applyNumberFormat="1" applyFont="1" applyFill="1" applyBorder="1" applyAlignment="1" applyProtection="1">
      <alignment horizontal="center"/>
      <protection hidden="1"/>
    </xf>
    <xf numFmtId="177" fontId="5" fillId="2" borderId="12" xfId="0" applyNumberFormat="1" applyFont="1" applyFill="1" applyBorder="1" applyAlignment="1" applyProtection="1">
      <alignment/>
      <protection hidden="1"/>
    </xf>
    <xf numFmtId="0" fontId="5" fillId="4" borderId="13" xfId="0" applyFont="1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/>
      <protection hidden="1"/>
    </xf>
    <xf numFmtId="0" fontId="5" fillId="4" borderId="15" xfId="0" applyFont="1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5" fillId="4" borderId="17" xfId="0" applyFont="1" applyFill="1" applyBorder="1" applyAlignment="1" applyProtection="1">
      <alignment/>
      <protection hidden="1"/>
    </xf>
    <xf numFmtId="0" fontId="5" fillId="4" borderId="14" xfId="0" applyFont="1" applyFill="1" applyBorder="1" applyAlignment="1" applyProtection="1">
      <alignment/>
      <protection hidden="1"/>
    </xf>
    <xf numFmtId="0" fontId="5" fillId="4" borderId="18" xfId="0" applyFont="1" applyFill="1" applyBorder="1" applyAlignment="1" applyProtection="1">
      <alignment/>
      <protection hidden="1"/>
    </xf>
    <xf numFmtId="0" fontId="5" fillId="4" borderId="16" xfId="0" applyFont="1" applyFill="1" applyBorder="1" applyAlignment="1" applyProtection="1">
      <alignment/>
      <protection hidden="1"/>
    </xf>
    <xf numFmtId="0" fontId="9" fillId="4" borderId="19" xfId="0" applyFont="1" applyFill="1" applyBorder="1" applyAlignment="1" applyProtection="1">
      <alignment horizontal="center" vertical="center"/>
      <protection hidden="1"/>
    </xf>
    <xf numFmtId="0" fontId="9" fillId="4" borderId="20" xfId="0" applyFont="1" applyFill="1" applyBorder="1" applyAlignment="1" applyProtection="1">
      <alignment horizontal="center" vertical="center"/>
      <protection hidden="1"/>
    </xf>
    <xf numFmtId="0" fontId="9" fillId="5" borderId="21" xfId="0" applyFont="1" applyFill="1" applyBorder="1" applyAlignment="1" applyProtection="1">
      <alignment horizontal="center" vertical="center"/>
      <protection hidden="1"/>
    </xf>
    <xf numFmtId="0" fontId="9" fillId="5" borderId="20" xfId="0" applyFont="1" applyFill="1" applyBorder="1" applyAlignment="1" applyProtection="1">
      <alignment horizontal="center" vertical="center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0" fontId="4" fillId="6" borderId="23" xfId="0" applyFont="1" applyFill="1" applyBorder="1" applyAlignment="1" applyProtection="1">
      <alignment horizontal="center" vertical="center"/>
      <protection hidden="1"/>
    </xf>
    <xf numFmtId="0" fontId="3" fillId="6" borderId="24" xfId="0" applyFont="1" applyFill="1" applyBorder="1" applyAlignment="1" applyProtection="1">
      <alignment horizontal="centerContinuous" vertical="center"/>
      <protection hidden="1"/>
    </xf>
    <xf numFmtId="0" fontId="3" fillId="6" borderId="25" xfId="0" applyFont="1" applyFill="1" applyBorder="1" applyAlignment="1" applyProtection="1">
      <alignment horizontal="centerContinuous" vertical="center"/>
      <protection hidden="1"/>
    </xf>
    <xf numFmtId="0" fontId="0" fillId="6" borderId="24" xfId="0" applyNumberFormat="1" applyFill="1" applyBorder="1" applyAlignment="1" applyProtection="1">
      <alignment horizontal="centerContinuous" vertical="center"/>
      <protection hidden="1"/>
    </xf>
    <xf numFmtId="0" fontId="2" fillId="6" borderId="24" xfId="0" applyNumberFormat="1" applyFont="1" applyFill="1" applyBorder="1" applyAlignment="1" applyProtection="1">
      <alignment horizontal="centerContinuous" vertical="center"/>
      <protection hidden="1"/>
    </xf>
    <xf numFmtId="0" fontId="5" fillId="6" borderId="24" xfId="0" applyNumberFormat="1" applyFont="1" applyFill="1" applyBorder="1" applyAlignment="1" applyProtection="1">
      <alignment horizontal="centerContinuous" vertical="center"/>
      <protection hidden="1"/>
    </xf>
    <xf numFmtId="0" fontId="5" fillId="6" borderId="25" xfId="0" applyNumberFormat="1" applyFont="1" applyFill="1" applyBorder="1" applyAlignment="1" applyProtection="1">
      <alignment horizontal="centerContinuous" vertical="center"/>
      <protection hidden="1"/>
    </xf>
    <xf numFmtId="0" fontId="10" fillId="6" borderId="26" xfId="0" applyNumberFormat="1" applyFont="1" applyFill="1" applyBorder="1" applyAlignment="1" applyProtection="1">
      <alignment horizontal="centerContinuous" vertical="center"/>
      <protection hidden="1"/>
    </xf>
    <xf numFmtId="177" fontId="5" fillId="2" borderId="27" xfId="0" applyNumberFormat="1" applyFont="1" applyFill="1" applyBorder="1" applyAlignment="1" applyProtection="1">
      <alignment/>
      <protection hidden="1"/>
    </xf>
    <xf numFmtId="177" fontId="5" fillId="2" borderId="28" xfId="0" applyNumberFormat="1" applyFont="1" applyFill="1" applyBorder="1" applyAlignment="1" applyProtection="1">
      <alignment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5" fillId="7" borderId="29" xfId="0" applyFont="1" applyFill="1" applyBorder="1" applyAlignment="1" applyProtection="1">
      <alignment/>
      <protection hidden="1"/>
    </xf>
    <xf numFmtId="0" fontId="0" fillId="7" borderId="30" xfId="0" applyFill="1" applyBorder="1" applyAlignment="1" applyProtection="1">
      <alignment/>
      <protection hidden="1"/>
    </xf>
    <xf numFmtId="177" fontId="5" fillId="2" borderId="31" xfId="0" applyNumberFormat="1" applyFont="1" applyFill="1" applyBorder="1" applyAlignment="1" applyProtection="1">
      <alignment/>
      <protection hidden="1"/>
    </xf>
    <xf numFmtId="0" fontId="2" fillId="3" borderId="32" xfId="0" applyFont="1" applyFill="1" applyBorder="1" applyAlignment="1" applyProtection="1">
      <alignment horizontal="center"/>
      <protection hidden="1"/>
    </xf>
    <xf numFmtId="177" fontId="5" fillId="2" borderId="33" xfId="0" applyNumberFormat="1" applyFont="1" applyFill="1" applyBorder="1" applyAlignment="1" applyProtection="1">
      <alignment/>
      <protection hidden="1"/>
    </xf>
    <xf numFmtId="0" fontId="5" fillId="7" borderId="34" xfId="0" applyFont="1" applyFill="1" applyBorder="1" applyAlignment="1" applyProtection="1">
      <alignment/>
      <protection hidden="1"/>
    </xf>
    <xf numFmtId="0" fontId="5" fillId="7" borderId="30" xfId="0" applyFont="1" applyFill="1" applyBorder="1" applyAlignment="1" applyProtection="1">
      <alignment/>
      <protection hidden="1"/>
    </xf>
    <xf numFmtId="0" fontId="0" fillId="8" borderId="35" xfId="0" applyFill="1" applyBorder="1" applyAlignment="1" applyProtection="1">
      <alignment/>
      <protection hidden="1"/>
    </xf>
    <xf numFmtId="1" fontId="2" fillId="3" borderId="36" xfId="0" applyNumberFormat="1" applyFont="1" applyFill="1" applyBorder="1" applyAlignment="1" applyProtection="1">
      <alignment horizontal="center"/>
      <protection hidden="1"/>
    </xf>
    <xf numFmtId="0" fontId="5" fillId="8" borderId="37" xfId="0" applyFont="1" applyFill="1" applyBorder="1" applyAlignment="1" applyProtection="1">
      <alignment/>
      <protection hidden="1"/>
    </xf>
    <xf numFmtId="0" fontId="5" fillId="8" borderId="35" xfId="0" applyFont="1" applyFill="1" applyBorder="1" applyAlignment="1" applyProtection="1">
      <alignment/>
      <protection hidden="1"/>
    </xf>
    <xf numFmtId="0" fontId="2" fillId="3" borderId="38" xfId="0" applyFont="1" applyFill="1" applyBorder="1" applyAlignment="1" applyProtection="1">
      <alignment horizontal="center"/>
      <protection hidden="1"/>
    </xf>
    <xf numFmtId="177" fontId="5" fillId="2" borderId="39" xfId="0" applyNumberFormat="1" applyFont="1" applyFill="1" applyBorder="1" applyAlignment="1" applyProtection="1">
      <alignment/>
      <protection hidden="1"/>
    </xf>
    <xf numFmtId="0" fontId="5" fillId="4" borderId="40" xfId="0" applyFont="1" applyFill="1" applyBorder="1" applyAlignment="1" applyProtection="1">
      <alignment horizontal="left" vertical="center"/>
      <protection hidden="1"/>
    </xf>
    <xf numFmtId="0" fontId="0" fillId="4" borderId="41" xfId="0" applyFill="1" applyBorder="1" applyAlignment="1" applyProtection="1">
      <alignment horizontal="left" vertical="center"/>
      <protection hidden="1"/>
    </xf>
    <xf numFmtId="1" fontId="2" fillId="3" borderId="42" xfId="0" applyNumberFormat="1" applyFont="1" applyFill="1" applyBorder="1" applyAlignment="1" applyProtection="1">
      <alignment horizontal="center"/>
      <protection hidden="1"/>
    </xf>
    <xf numFmtId="0" fontId="5" fillId="4" borderId="43" xfId="0" applyFont="1" applyFill="1" applyBorder="1" applyAlignment="1" applyProtection="1">
      <alignment/>
      <protection hidden="1"/>
    </xf>
    <xf numFmtId="0" fontId="5" fillId="4" borderId="41" xfId="0" applyFont="1" applyFill="1" applyBorder="1" applyAlignment="1" applyProtection="1">
      <alignment/>
      <protection hidden="1"/>
    </xf>
    <xf numFmtId="177" fontId="5" fillId="2" borderId="44" xfId="0" applyNumberFormat="1" applyFont="1" applyFill="1" applyBorder="1" applyAlignment="1" applyProtection="1">
      <alignment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0" fillId="4" borderId="35" xfId="0" applyFill="1" applyBorder="1" applyAlignment="1" applyProtection="1">
      <alignment horizontal="left" vertical="center"/>
      <protection hidden="1"/>
    </xf>
    <xf numFmtId="0" fontId="5" fillId="4" borderId="37" xfId="0" applyFont="1" applyFill="1" applyBorder="1" applyAlignment="1" applyProtection="1">
      <alignment/>
      <protection hidden="1"/>
    </xf>
    <xf numFmtId="0" fontId="5" fillId="4" borderId="35" xfId="0" applyFont="1" applyFill="1" applyBorder="1" applyAlignment="1" applyProtection="1">
      <alignment/>
      <protection hidden="1"/>
    </xf>
    <xf numFmtId="0" fontId="5" fillId="8" borderId="45" xfId="0" applyFont="1" applyFill="1" applyBorder="1" applyAlignment="1" applyProtection="1">
      <alignment/>
      <protection hidden="1"/>
    </xf>
    <xf numFmtId="0" fontId="5" fillId="8" borderId="15" xfId="0" applyFont="1" applyFill="1" applyBorder="1" applyAlignment="1" applyProtection="1">
      <alignment/>
      <protection hidden="1"/>
    </xf>
    <xf numFmtId="0" fontId="0" fillId="8" borderId="16" xfId="0" applyFill="1" applyBorder="1" applyAlignment="1" applyProtection="1">
      <alignment/>
      <protection hidden="1"/>
    </xf>
    <xf numFmtId="0" fontId="5" fillId="8" borderId="18" xfId="0" applyFont="1" applyFill="1" applyBorder="1" applyAlignment="1" applyProtection="1">
      <alignment/>
      <protection hidden="1"/>
    </xf>
    <xf numFmtId="0" fontId="5" fillId="8" borderId="16" xfId="0" applyFont="1" applyFill="1" applyBorder="1" applyAlignment="1" applyProtection="1">
      <alignment/>
      <protection hidden="1"/>
    </xf>
    <xf numFmtId="0" fontId="0" fillId="6" borderId="23" xfId="0" applyFont="1" applyFill="1" applyBorder="1" applyAlignment="1" applyProtection="1">
      <alignment horizontal="center" vertical="center"/>
      <protection hidden="1"/>
    </xf>
    <xf numFmtId="49" fontId="2" fillId="6" borderId="46" xfId="0" applyNumberFormat="1" applyFont="1" applyFill="1" applyBorder="1" applyAlignment="1" applyProtection="1">
      <alignment horizontal="center" vertical="center"/>
      <protection hidden="1"/>
    </xf>
    <xf numFmtId="49" fontId="9" fillId="6" borderId="24" xfId="0" applyNumberFormat="1" applyFont="1" applyFill="1" applyBorder="1" applyAlignment="1" applyProtection="1">
      <alignment horizontal="centerContinuous" vertical="center"/>
      <protection hidden="1"/>
    </xf>
    <xf numFmtId="49" fontId="2" fillId="6" borderId="24" xfId="0" applyNumberFormat="1" applyFont="1" applyFill="1" applyBorder="1" applyAlignment="1" applyProtection="1">
      <alignment horizontal="centerContinuous" vertical="center"/>
      <protection hidden="1"/>
    </xf>
    <xf numFmtId="49" fontId="2" fillId="6" borderId="47" xfId="0" applyNumberFormat="1" applyFont="1" applyFill="1" applyBorder="1" applyAlignment="1" applyProtection="1">
      <alignment horizontal="centerContinuous" vertical="center"/>
      <protection hidden="1"/>
    </xf>
    <xf numFmtId="0" fontId="0" fillId="6" borderId="48" xfId="0" applyFont="1" applyFill="1" applyBorder="1" applyAlignment="1" applyProtection="1">
      <alignment horizontal="center" vertical="center"/>
      <protection hidden="1"/>
    </xf>
    <xf numFmtId="0" fontId="0" fillId="6" borderId="49" xfId="0" applyFill="1" applyBorder="1" applyAlignment="1" applyProtection="1">
      <alignment horizontal="center" vertical="center"/>
      <protection hidden="1"/>
    </xf>
    <xf numFmtId="0" fontId="0" fillId="6" borderId="50" xfId="0" applyFill="1" applyBorder="1" applyAlignment="1" applyProtection="1">
      <alignment horizontal="center" vertical="center"/>
      <protection hidden="1"/>
    </xf>
    <xf numFmtId="0" fontId="9" fillId="7" borderId="51" xfId="0" applyFont="1" applyFill="1" applyBorder="1" applyAlignment="1" applyProtection="1">
      <alignment horizontal="center" vertical="center"/>
      <protection hidden="1"/>
    </xf>
    <xf numFmtId="0" fontId="9" fillId="8" borderId="52" xfId="0" applyFont="1" applyFill="1" applyBorder="1" applyAlignment="1" applyProtection="1">
      <alignment horizontal="center" vertical="center"/>
      <protection hidden="1"/>
    </xf>
    <xf numFmtId="0" fontId="9" fillId="5" borderId="18" xfId="0" applyFont="1" applyFill="1" applyBorder="1" applyAlignment="1" applyProtection="1">
      <alignment horizontal="center" vertical="center"/>
      <protection hidden="1"/>
    </xf>
    <xf numFmtId="0" fontId="9" fillId="5" borderId="21" xfId="0" applyFont="1" applyFill="1" applyBorder="1" applyAlignment="1" applyProtection="1">
      <alignment horizontal="right" vertical="center"/>
      <protection hidden="1"/>
    </xf>
    <xf numFmtId="0" fontId="0" fillId="9" borderId="53" xfId="0" applyFill="1" applyBorder="1" applyAlignment="1" applyProtection="1">
      <alignment/>
      <protection hidden="1"/>
    </xf>
    <xf numFmtId="0" fontId="0" fillId="9" borderId="54" xfId="0" applyFill="1" applyBorder="1" applyAlignment="1" applyProtection="1">
      <alignment/>
      <protection hidden="1"/>
    </xf>
    <xf numFmtId="0" fontId="0" fillId="9" borderId="55" xfId="0" applyFill="1" applyBorder="1" applyAlignment="1" applyProtection="1">
      <alignment/>
      <protection hidden="1"/>
    </xf>
    <xf numFmtId="0" fontId="0" fillId="9" borderId="0" xfId="0" applyFill="1" applyBorder="1" applyAlignment="1" applyProtection="1">
      <alignment/>
      <protection hidden="1"/>
    </xf>
    <xf numFmtId="0" fontId="0" fillId="9" borderId="56" xfId="0" applyFill="1" applyBorder="1" applyAlignment="1" applyProtection="1">
      <alignment/>
      <protection hidden="1"/>
    </xf>
    <xf numFmtId="0" fontId="0" fillId="9" borderId="57" xfId="0" applyFill="1" applyBorder="1" applyAlignment="1" applyProtection="1">
      <alignment/>
      <protection hidden="1"/>
    </xf>
    <xf numFmtId="0" fontId="0" fillId="9" borderId="58" xfId="0" applyFill="1" applyBorder="1" applyAlignment="1" applyProtection="1">
      <alignment/>
      <protection hidden="1"/>
    </xf>
    <xf numFmtId="14" fontId="0" fillId="9" borderId="59" xfId="0" applyNumberFormat="1" applyFill="1" applyBorder="1" applyAlignment="1" applyProtection="1">
      <alignment/>
      <protection hidden="1"/>
    </xf>
    <xf numFmtId="22" fontId="0" fillId="9" borderId="59" xfId="0" applyNumberFormat="1" applyFill="1" applyBorder="1" applyAlignment="1" applyProtection="1">
      <alignment/>
      <protection hidden="1"/>
    </xf>
    <xf numFmtId="0" fontId="0" fillId="9" borderId="59" xfId="0" applyFill="1" applyBorder="1" applyAlignment="1" applyProtection="1">
      <alignment/>
      <protection hidden="1"/>
    </xf>
    <xf numFmtId="179" fontId="0" fillId="3" borderId="24" xfId="0" applyNumberFormat="1" applyFill="1" applyBorder="1" applyAlignment="1" applyProtection="1">
      <alignment/>
      <protection hidden="1"/>
    </xf>
    <xf numFmtId="179" fontId="0" fillId="3" borderId="25" xfId="0" applyNumberFormat="1" applyFill="1" applyBorder="1" applyAlignment="1" applyProtection="1">
      <alignment/>
      <protection hidden="1"/>
    </xf>
    <xf numFmtId="0" fontId="5" fillId="10" borderId="60" xfId="0" applyFont="1" applyFill="1" applyBorder="1" applyAlignment="1" applyProtection="1">
      <alignment horizontal="left"/>
      <protection hidden="1"/>
    </xf>
    <xf numFmtId="0" fontId="5" fillId="4" borderId="61" xfId="0" applyFont="1" applyFill="1" applyBorder="1" applyAlignment="1" applyProtection="1">
      <alignment horizontal="left"/>
      <protection hidden="1"/>
    </xf>
    <xf numFmtId="0" fontId="5" fillId="4" borderId="62" xfId="0" applyFont="1" applyFill="1" applyBorder="1" applyAlignment="1" applyProtection="1">
      <alignment horizontal="left"/>
      <protection hidden="1"/>
    </xf>
    <xf numFmtId="0" fontId="5" fillId="7" borderId="62" xfId="0" applyFont="1" applyFill="1" applyBorder="1" applyAlignment="1" applyProtection="1">
      <alignment horizontal="left"/>
      <protection hidden="1"/>
    </xf>
    <xf numFmtId="0" fontId="5" fillId="8" borderId="63" xfId="0" applyFont="1" applyFill="1" applyBorder="1" applyAlignment="1" applyProtection="1">
      <alignment horizontal="left"/>
      <protection hidden="1"/>
    </xf>
    <xf numFmtId="0" fontId="5" fillId="8" borderId="62" xfId="0" applyFont="1" applyFill="1" applyBorder="1" applyAlignment="1" applyProtection="1">
      <alignment horizontal="left"/>
      <protection hidden="1"/>
    </xf>
    <xf numFmtId="0" fontId="5" fillId="5" borderId="62" xfId="0" applyFont="1" applyFill="1" applyBorder="1" applyAlignment="1" applyProtection="1">
      <alignment horizontal="left"/>
      <protection hidden="1"/>
    </xf>
    <xf numFmtId="0" fontId="5" fillId="5" borderId="61" xfId="0" applyFont="1" applyFill="1" applyBorder="1" applyAlignment="1" applyProtection="1">
      <alignment horizontal="left"/>
      <protection hidden="1"/>
    </xf>
    <xf numFmtId="0" fontId="9" fillId="5" borderId="37" xfId="0" applyFont="1" applyFill="1" applyBorder="1" applyAlignment="1" applyProtection="1">
      <alignment horizontal="center" vertical="center"/>
      <protection hidden="1"/>
    </xf>
    <xf numFmtId="0" fontId="9" fillId="5" borderId="64" xfId="0" applyFont="1" applyFill="1" applyBorder="1" applyAlignment="1" applyProtection="1">
      <alignment horizontal="right" vertical="center"/>
      <protection hidden="1"/>
    </xf>
    <xf numFmtId="0" fontId="9" fillId="5" borderId="64" xfId="0" applyFont="1" applyFill="1" applyBorder="1" applyAlignment="1" applyProtection="1">
      <alignment horizontal="center" vertical="center"/>
      <protection hidden="1"/>
    </xf>
    <xf numFmtId="0" fontId="9" fillId="5" borderId="19" xfId="0" applyFont="1" applyFill="1" applyBorder="1" applyAlignment="1" applyProtection="1">
      <alignment horizontal="center" vertical="center"/>
      <protection hidden="1"/>
    </xf>
    <xf numFmtId="0" fontId="9" fillId="5" borderId="65" xfId="0" applyFont="1" applyFill="1" applyBorder="1" applyAlignment="1" applyProtection="1">
      <alignment horizontal="center" vertical="center"/>
      <protection hidden="1"/>
    </xf>
    <xf numFmtId="0" fontId="0" fillId="11" borderId="66" xfId="0" applyFill="1" applyBorder="1" applyAlignment="1" applyProtection="1">
      <alignment horizontal="centerContinuous" vertical="center"/>
      <protection hidden="1"/>
    </xf>
    <xf numFmtId="0" fontId="0" fillId="11" borderId="67" xfId="0" applyFill="1" applyBorder="1" applyAlignment="1" applyProtection="1">
      <alignment horizontal="centerContinuous" vertical="center"/>
      <protection hidden="1"/>
    </xf>
    <xf numFmtId="0" fontId="2" fillId="11" borderId="67" xfId="0" applyFont="1" applyFill="1" applyBorder="1" applyAlignment="1" applyProtection="1">
      <alignment horizontal="centerContinuous" vertical="center"/>
      <protection hidden="1"/>
    </xf>
    <xf numFmtId="0" fontId="0" fillId="11" borderId="68" xfId="0" applyFill="1" applyBorder="1" applyAlignment="1" applyProtection="1">
      <alignment horizontal="centerContinuous" vertical="center"/>
      <protection hidden="1"/>
    </xf>
    <xf numFmtId="0" fontId="0" fillId="4" borderId="16" xfId="0" applyFill="1" applyBorder="1" applyAlignment="1" applyProtection="1">
      <alignment horizontal="left" vertical="center"/>
      <protection hidden="1"/>
    </xf>
    <xf numFmtId="0" fontId="5" fillId="5" borderId="69" xfId="0" applyFont="1" applyFill="1" applyBorder="1" applyAlignment="1" applyProtection="1">
      <alignment horizontal="left"/>
      <protection hidden="1"/>
    </xf>
    <xf numFmtId="0" fontId="9" fillId="5" borderId="34" xfId="0" applyFont="1" applyFill="1" applyBorder="1" applyAlignment="1" applyProtection="1">
      <alignment horizontal="center" vertical="center"/>
      <protection hidden="1"/>
    </xf>
    <xf numFmtId="0" fontId="9" fillId="5" borderId="70" xfId="0" applyFont="1" applyFill="1" applyBorder="1" applyAlignment="1" applyProtection="1">
      <alignment horizontal="right" vertical="center"/>
      <protection hidden="1"/>
    </xf>
    <xf numFmtId="0" fontId="9" fillId="5" borderId="70" xfId="0" applyFont="1" applyFill="1" applyBorder="1" applyAlignment="1" applyProtection="1">
      <alignment horizontal="center" vertical="center"/>
      <protection hidden="1"/>
    </xf>
    <xf numFmtId="0" fontId="9" fillId="5" borderId="51" xfId="0" applyFont="1" applyFill="1" applyBorder="1" applyAlignment="1" applyProtection="1">
      <alignment horizontal="center" vertical="center"/>
      <protection hidden="1"/>
    </xf>
    <xf numFmtId="0" fontId="9" fillId="8" borderId="71" xfId="0" applyFont="1" applyFill="1" applyBorder="1" applyAlignment="1" applyProtection="1">
      <alignment horizontal="center" vertical="center"/>
      <protection hidden="1"/>
    </xf>
    <xf numFmtId="0" fontId="9" fillId="8" borderId="72" xfId="0" applyFont="1" applyFill="1" applyBorder="1" applyAlignment="1" applyProtection="1">
      <alignment horizontal="center" vertical="center"/>
      <protection hidden="1"/>
    </xf>
    <xf numFmtId="0" fontId="0" fillId="9" borderId="73" xfId="0" applyFill="1" applyBorder="1" applyAlignment="1" applyProtection="1">
      <alignment/>
      <protection hidden="1"/>
    </xf>
    <xf numFmtId="0" fontId="0" fillId="9" borderId="74" xfId="0" applyFill="1" applyBorder="1" applyAlignment="1" applyProtection="1">
      <alignment/>
      <protection hidden="1"/>
    </xf>
    <xf numFmtId="179" fontId="0" fillId="9" borderId="74" xfId="0" applyNumberFormat="1" applyFill="1" applyBorder="1" applyAlignment="1" applyProtection="1">
      <alignment/>
      <protection hidden="1"/>
    </xf>
    <xf numFmtId="0" fontId="0" fillId="12" borderId="0" xfId="0" applyFill="1" applyBorder="1" applyAlignment="1" applyProtection="1">
      <alignment/>
      <protection hidden="1"/>
    </xf>
    <xf numFmtId="177" fontId="5" fillId="13" borderId="2" xfId="0" applyNumberFormat="1" applyFont="1" applyFill="1" applyBorder="1" applyAlignment="1" applyProtection="1">
      <alignment/>
      <protection hidden="1"/>
    </xf>
    <xf numFmtId="177" fontId="5" fillId="13" borderId="4" xfId="0" applyNumberFormat="1" applyFont="1" applyFill="1" applyBorder="1" applyAlignment="1" applyProtection="1">
      <alignment/>
      <protection hidden="1"/>
    </xf>
    <xf numFmtId="177" fontId="5" fillId="13" borderId="6" xfId="0" applyNumberFormat="1" applyFont="1" applyFill="1" applyBorder="1" applyAlignment="1" applyProtection="1">
      <alignment/>
      <protection hidden="1"/>
    </xf>
    <xf numFmtId="177" fontId="5" fillId="13" borderId="75" xfId="0" applyNumberFormat="1" applyFont="1" applyFill="1" applyBorder="1" applyAlignment="1" applyProtection="1">
      <alignment/>
      <protection hidden="1"/>
    </xf>
    <xf numFmtId="177" fontId="5" fillId="13" borderId="76" xfId="0" applyNumberFormat="1" applyFont="1" applyFill="1" applyBorder="1" applyAlignment="1" applyProtection="1">
      <alignment/>
      <protection hidden="1"/>
    </xf>
    <xf numFmtId="0" fontId="0" fillId="9" borderId="77" xfId="0" applyFill="1" applyBorder="1" applyAlignment="1" applyProtection="1">
      <alignment/>
      <protection hidden="1"/>
    </xf>
    <xf numFmtId="179" fontId="5" fillId="4" borderId="78" xfId="0" applyNumberFormat="1" applyFont="1" applyFill="1" applyBorder="1" applyAlignment="1" applyProtection="1">
      <alignment horizontal="left" vertical="center" shrinkToFit="1"/>
      <protection hidden="1"/>
    </xf>
    <xf numFmtId="179" fontId="5" fillId="6" borderId="78" xfId="0" applyNumberFormat="1" applyFont="1" applyFill="1" applyBorder="1" applyAlignment="1" applyProtection="1">
      <alignment horizontal="left" vertical="center" shrinkToFit="1"/>
      <protection hidden="1"/>
    </xf>
    <xf numFmtId="179" fontId="5" fillId="10" borderId="78" xfId="0" applyNumberFormat="1" applyFont="1" applyFill="1" applyBorder="1" applyAlignment="1" applyProtection="1">
      <alignment horizontal="left" vertical="center" shrinkToFit="1"/>
      <protection hidden="1"/>
    </xf>
    <xf numFmtId="179" fontId="5" fillId="4" borderId="79" xfId="0" applyNumberFormat="1" applyFont="1" applyFill="1" applyBorder="1" applyAlignment="1" applyProtection="1">
      <alignment horizontal="left" vertical="center" shrinkToFit="1"/>
      <protection hidden="1"/>
    </xf>
    <xf numFmtId="179" fontId="5" fillId="6" borderId="79" xfId="0" applyNumberFormat="1" applyFont="1" applyFill="1" applyBorder="1" applyAlignment="1" applyProtection="1">
      <alignment horizontal="left" vertical="center" shrinkToFit="1"/>
      <protection hidden="1"/>
    </xf>
    <xf numFmtId="179" fontId="5" fillId="6" borderId="0" xfId="0" applyNumberFormat="1" applyFont="1" applyFill="1" applyBorder="1" applyAlignment="1" applyProtection="1">
      <alignment horizontal="left" vertical="center" shrinkToFit="1"/>
      <protection hidden="1"/>
    </xf>
    <xf numFmtId="179" fontId="5" fillId="4" borderId="80" xfId="0" applyNumberFormat="1" applyFont="1" applyFill="1" applyBorder="1" applyAlignment="1" applyProtection="1">
      <alignment horizontal="left" vertical="center" shrinkToFit="1"/>
      <protection hidden="1"/>
    </xf>
    <xf numFmtId="179" fontId="5" fillId="6" borderId="80" xfId="0" applyNumberFormat="1" applyFont="1" applyFill="1" applyBorder="1" applyAlignment="1" applyProtection="1">
      <alignment horizontal="left" vertical="center" shrinkToFit="1"/>
      <protection hidden="1"/>
    </xf>
    <xf numFmtId="179" fontId="5" fillId="6" borderId="81" xfId="0" applyNumberFormat="1" applyFont="1" applyFill="1" applyBorder="1" applyAlignment="1" applyProtection="1">
      <alignment horizontal="left" vertical="center" shrinkToFit="1"/>
      <protection hidden="1"/>
    </xf>
    <xf numFmtId="179" fontId="5" fillId="4" borderId="73" xfId="0" applyNumberFormat="1" applyFont="1" applyFill="1" applyBorder="1" applyAlignment="1" applyProtection="1">
      <alignment horizontal="left" vertical="center" shrinkToFit="1"/>
      <protection hidden="1"/>
    </xf>
    <xf numFmtId="179" fontId="5" fillId="6" borderId="73" xfId="0" applyNumberFormat="1" applyFont="1" applyFill="1" applyBorder="1" applyAlignment="1" applyProtection="1">
      <alignment horizontal="left" vertical="center" shrinkToFit="1"/>
      <protection hidden="1"/>
    </xf>
    <xf numFmtId="0" fontId="16" fillId="10" borderId="82" xfId="0" applyNumberFormat="1" applyFont="1" applyFill="1" applyBorder="1" applyAlignment="1" applyProtection="1">
      <alignment horizontal="center" vertical="center" shrinkToFit="1"/>
      <protection hidden="1"/>
    </xf>
    <xf numFmtId="179" fontId="0" fillId="2" borderId="26" xfId="0" applyNumberFormat="1" applyFill="1" applyBorder="1" applyAlignment="1" applyProtection="1">
      <alignment horizontal="center" vertical="center"/>
      <protection hidden="1"/>
    </xf>
    <xf numFmtId="179" fontId="0" fillId="2" borderId="24" xfId="0" applyNumberFormat="1" applyFill="1" applyBorder="1" applyAlignment="1" applyProtection="1">
      <alignment horizontal="center" vertical="center"/>
      <protection hidden="1"/>
    </xf>
    <xf numFmtId="179" fontId="14" fillId="2" borderId="24" xfId="0" applyNumberFormat="1" applyFont="1" applyFill="1" applyBorder="1" applyAlignment="1" applyProtection="1">
      <alignment horizontal="center" vertical="center"/>
      <protection locked="0"/>
    </xf>
    <xf numFmtId="179" fontId="14" fillId="10" borderId="83" xfId="0" applyNumberFormat="1" applyFont="1" applyFill="1" applyBorder="1" applyAlignment="1" applyProtection="1">
      <alignment horizontal="left" vertical="center" shrinkToFit="1"/>
      <protection locked="0"/>
    </xf>
    <xf numFmtId="179" fontId="14" fillId="10" borderId="84" xfId="0" applyNumberFormat="1" applyFont="1" applyFill="1" applyBorder="1" applyAlignment="1" applyProtection="1">
      <alignment horizontal="left" vertical="center" shrinkToFit="1"/>
      <protection locked="0"/>
    </xf>
    <xf numFmtId="0" fontId="5" fillId="14" borderId="45" xfId="0" applyFont="1" applyFill="1" applyBorder="1" applyAlignment="1" applyProtection="1">
      <alignment/>
      <protection hidden="1"/>
    </xf>
    <xf numFmtId="0" fontId="5" fillId="14" borderId="35" xfId="0" applyFont="1" applyFill="1" applyBorder="1" applyAlignment="1" applyProtection="1">
      <alignment/>
      <protection hidden="1"/>
    </xf>
    <xf numFmtId="0" fontId="5" fillId="14" borderId="85" xfId="0" applyFont="1" applyFill="1" applyBorder="1" applyAlignment="1" applyProtection="1">
      <alignment/>
      <protection hidden="1"/>
    </xf>
    <xf numFmtId="0" fontId="5" fillId="14" borderId="86" xfId="0" applyFont="1" applyFill="1" applyBorder="1" applyAlignment="1" applyProtection="1">
      <alignment/>
      <protection hidden="1"/>
    </xf>
    <xf numFmtId="0" fontId="5" fillId="14" borderId="37" xfId="0" applyFont="1" applyFill="1" applyBorder="1" applyAlignment="1" applyProtection="1">
      <alignment/>
      <protection hidden="1"/>
    </xf>
    <xf numFmtId="0" fontId="5" fillId="14" borderId="87" xfId="0" applyFont="1" applyFill="1" applyBorder="1" applyAlignment="1" applyProtection="1">
      <alignment/>
      <protection hidden="1"/>
    </xf>
    <xf numFmtId="0" fontId="5" fillId="5" borderId="40" xfId="0" applyFont="1" applyFill="1" applyBorder="1" applyAlignment="1" applyProtection="1">
      <alignment/>
      <protection hidden="1"/>
    </xf>
    <xf numFmtId="0" fontId="5" fillId="5" borderId="41" xfId="0" applyFont="1" applyFill="1" applyBorder="1" applyAlignment="1" applyProtection="1">
      <alignment/>
      <protection hidden="1"/>
    </xf>
    <xf numFmtId="0" fontId="5" fillId="5" borderId="15" xfId="0" applyFont="1" applyFill="1" applyBorder="1" applyAlignment="1" applyProtection="1">
      <alignment/>
      <protection hidden="1"/>
    </xf>
    <xf numFmtId="0" fontId="5" fillId="5" borderId="16" xfId="0" applyFont="1" applyFill="1" applyBorder="1" applyAlignment="1" applyProtection="1">
      <alignment/>
      <protection hidden="1"/>
    </xf>
    <xf numFmtId="0" fontId="5" fillId="5" borderId="85" xfId="0" applyFont="1" applyFill="1" applyBorder="1" applyAlignment="1" applyProtection="1">
      <alignment/>
      <protection hidden="1"/>
    </xf>
    <xf numFmtId="0" fontId="5" fillId="5" borderId="86" xfId="0" applyFont="1" applyFill="1" applyBorder="1" applyAlignment="1" applyProtection="1">
      <alignment/>
      <protection hidden="1"/>
    </xf>
    <xf numFmtId="0" fontId="5" fillId="5" borderId="43" xfId="0" applyFont="1" applyFill="1" applyBorder="1" applyAlignment="1" applyProtection="1">
      <alignment/>
      <protection hidden="1"/>
    </xf>
    <xf numFmtId="0" fontId="5" fillId="5" borderId="18" xfId="0" applyFont="1" applyFill="1" applyBorder="1" applyAlignment="1" applyProtection="1">
      <alignment/>
      <protection hidden="1"/>
    </xf>
    <xf numFmtId="0" fontId="5" fillId="5" borderId="87" xfId="0" applyFont="1" applyFill="1" applyBorder="1" applyAlignment="1" applyProtection="1">
      <alignment/>
      <protection hidden="1"/>
    </xf>
    <xf numFmtId="179" fontId="14" fillId="3" borderId="26" xfId="0" applyNumberFormat="1" applyFont="1" applyFill="1" applyBorder="1" applyAlignment="1" applyProtection="1">
      <alignment horizontal="left"/>
      <protection locked="0"/>
    </xf>
    <xf numFmtId="0" fontId="9" fillId="8" borderId="88" xfId="0" applyFont="1" applyFill="1" applyBorder="1" applyAlignment="1" applyProtection="1">
      <alignment horizontal="center" vertical="center"/>
      <protection hidden="1"/>
    </xf>
    <xf numFmtId="0" fontId="9" fillId="4" borderId="89" xfId="0" applyFont="1" applyFill="1" applyBorder="1" applyAlignment="1" applyProtection="1">
      <alignment horizontal="center" vertical="center"/>
      <protection hidden="1"/>
    </xf>
    <xf numFmtId="0" fontId="9" fillId="4" borderId="90" xfId="0" applyFont="1" applyFill="1" applyBorder="1" applyAlignment="1" applyProtection="1">
      <alignment horizontal="center" vertical="center"/>
      <protection hidden="1"/>
    </xf>
    <xf numFmtId="0" fontId="9" fillId="4" borderId="91" xfId="0" applyFont="1" applyFill="1" applyBorder="1" applyAlignment="1" applyProtection="1">
      <alignment horizontal="center" vertical="center"/>
      <protection hidden="1"/>
    </xf>
    <xf numFmtId="0" fontId="9" fillId="4" borderId="92" xfId="0" applyFont="1" applyFill="1" applyBorder="1" applyAlignment="1" applyProtection="1">
      <alignment horizontal="center" vertical="center"/>
      <protection hidden="1"/>
    </xf>
    <xf numFmtId="0" fontId="9" fillId="4" borderId="93" xfId="0" applyFont="1" applyFill="1" applyBorder="1" applyAlignment="1" applyProtection="1">
      <alignment horizontal="center" vertical="center"/>
      <protection hidden="1"/>
    </xf>
    <xf numFmtId="179" fontId="14" fillId="2" borderId="26" xfId="0" applyNumberFormat="1" applyFont="1" applyFill="1" applyBorder="1" applyAlignment="1" applyProtection="1">
      <alignment horizontal="left"/>
      <protection locked="0"/>
    </xf>
    <xf numFmtId="179" fontId="0" fillId="2" borderId="24" xfId="0" applyNumberFormat="1" applyFill="1" applyBorder="1" applyAlignment="1" applyProtection="1">
      <alignment/>
      <protection hidden="1"/>
    </xf>
    <xf numFmtId="179" fontId="0" fillId="9" borderId="94" xfId="0" applyNumberFormat="1" applyFill="1" applyBorder="1" applyAlignment="1" applyProtection="1">
      <alignment/>
      <protection hidden="1"/>
    </xf>
    <xf numFmtId="179" fontId="18" fillId="9" borderId="94" xfId="0" applyNumberFormat="1" applyFont="1" applyFill="1" applyBorder="1" applyAlignment="1" applyProtection="1">
      <alignment shrinkToFit="1"/>
      <protection hidden="1"/>
    </xf>
    <xf numFmtId="0" fontId="0" fillId="4" borderId="95" xfId="0" applyFill="1" applyBorder="1" applyAlignment="1">
      <alignment/>
    </xf>
    <xf numFmtId="0" fontId="0" fillId="4" borderId="96" xfId="0" applyFill="1" applyBorder="1" applyAlignment="1">
      <alignment/>
    </xf>
    <xf numFmtId="0" fontId="9" fillId="4" borderId="97" xfId="0" applyFont="1" applyFill="1" applyBorder="1" applyAlignment="1" applyProtection="1">
      <alignment horizontal="center" vertical="center"/>
      <protection hidden="1"/>
    </xf>
    <xf numFmtId="0" fontId="9" fillId="4" borderId="51" xfId="0" applyFont="1" applyFill="1" applyBorder="1" applyAlignment="1" applyProtection="1">
      <alignment horizontal="center" vertical="center"/>
      <protection hidden="1"/>
    </xf>
    <xf numFmtId="0" fontId="9" fillId="4" borderId="98" xfId="0" applyFont="1" applyFill="1" applyBorder="1" applyAlignment="1" applyProtection="1">
      <alignment horizontal="center" vertical="center"/>
      <protection hidden="1"/>
    </xf>
    <xf numFmtId="0" fontId="9" fillId="4" borderId="99" xfId="0" applyFont="1" applyFill="1" applyBorder="1" applyAlignment="1" applyProtection="1">
      <alignment horizontal="center" vertical="center"/>
      <protection hidden="1"/>
    </xf>
    <xf numFmtId="0" fontId="9" fillId="7" borderId="100" xfId="0" applyFont="1" applyFill="1" applyBorder="1" applyAlignment="1" applyProtection="1">
      <alignment horizontal="center" vertical="center"/>
      <protection hidden="1"/>
    </xf>
    <xf numFmtId="0" fontId="9" fillId="7" borderId="19" xfId="0" applyFont="1" applyFill="1" applyBorder="1" applyAlignment="1" applyProtection="1">
      <alignment horizontal="center" vertical="center"/>
      <protection hidden="1"/>
    </xf>
    <xf numFmtId="0" fontId="9" fillId="8" borderId="90" xfId="0" applyFont="1" applyFill="1" applyBorder="1" applyAlignment="1" applyProtection="1">
      <alignment horizontal="center" vertical="center"/>
      <protection hidden="1"/>
    </xf>
    <xf numFmtId="0" fontId="9" fillId="8" borderId="97" xfId="0" applyFont="1" applyFill="1" applyBorder="1" applyAlignment="1" applyProtection="1">
      <alignment horizontal="center" vertical="center"/>
      <protection hidden="1"/>
    </xf>
    <xf numFmtId="0" fontId="9" fillId="8" borderId="51" xfId="0" applyFont="1" applyFill="1" applyBorder="1" applyAlignment="1" applyProtection="1">
      <alignment horizontal="center" vertical="center"/>
      <protection hidden="1"/>
    </xf>
    <xf numFmtId="0" fontId="9" fillId="8" borderId="98" xfId="0" applyFont="1" applyFill="1" applyBorder="1" applyAlignment="1" applyProtection="1">
      <alignment horizontal="center" vertical="center"/>
      <protection hidden="1"/>
    </xf>
    <xf numFmtId="0" fontId="9" fillId="8" borderId="99" xfId="0" applyFont="1" applyFill="1" applyBorder="1" applyAlignment="1" applyProtection="1">
      <alignment horizontal="center" vertical="center"/>
      <protection hidden="1"/>
    </xf>
    <xf numFmtId="0" fontId="9" fillId="7" borderId="89" xfId="0" applyFont="1" applyFill="1" applyBorder="1" applyAlignment="1" applyProtection="1">
      <alignment horizontal="center" vertical="center"/>
      <protection hidden="1"/>
    </xf>
    <xf numFmtId="0" fontId="9" fillId="7" borderId="90" xfId="0" applyFont="1" applyFill="1" applyBorder="1" applyAlignment="1" applyProtection="1">
      <alignment horizontal="center" vertical="center"/>
      <protection hidden="1"/>
    </xf>
    <xf numFmtId="0" fontId="9" fillId="7" borderId="101" xfId="0" applyFont="1" applyFill="1" applyBorder="1" applyAlignment="1" applyProtection="1">
      <alignment horizontal="center" vertical="center"/>
      <protection hidden="1"/>
    </xf>
    <xf numFmtId="179" fontId="2" fillId="9" borderId="74" xfId="0" applyNumberFormat="1" applyFont="1" applyFill="1" applyBorder="1" applyAlignment="1" applyProtection="1">
      <alignment horizontal="center" vertical="center"/>
      <protection hidden="1"/>
    </xf>
    <xf numFmtId="0" fontId="0" fillId="15" borderId="102" xfId="0" applyFill="1" applyBorder="1" applyAlignment="1" applyProtection="1">
      <alignment/>
      <protection hidden="1"/>
    </xf>
    <xf numFmtId="0" fontId="0" fillId="15" borderId="103" xfId="0" applyFill="1" applyBorder="1" applyAlignment="1" applyProtection="1">
      <alignment/>
      <protection hidden="1"/>
    </xf>
    <xf numFmtId="0" fontId="0" fillId="15" borderId="104" xfId="0" applyFill="1" applyBorder="1" applyAlignment="1" applyProtection="1">
      <alignment/>
      <protection hidden="1"/>
    </xf>
    <xf numFmtId="0" fontId="0" fillId="15" borderId="105" xfId="0" applyFill="1" applyBorder="1" applyAlignment="1" applyProtection="1">
      <alignment/>
      <protection hidden="1"/>
    </xf>
    <xf numFmtId="0" fontId="0" fillId="15" borderId="106" xfId="0" applyFill="1" applyBorder="1" applyAlignment="1" applyProtection="1">
      <alignment/>
      <protection hidden="1"/>
    </xf>
    <xf numFmtId="0" fontId="0" fillId="15" borderId="107" xfId="0" applyFill="1" applyBorder="1" applyAlignment="1" applyProtection="1">
      <alignment/>
      <protection hidden="1"/>
    </xf>
    <xf numFmtId="0" fontId="0" fillId="15" borderId="108" xfId="0" applyFill="1" applyBorder="1" applyAlignment="1" applyProtection="1">
      <alignment/>
      <protection hidden="1"/>
    </xf>
    <xf numFmtId="0" fontId="0" fillId="15" borderId="109" xfId="0" applyFill="1" applyBorder="1" applyAlignment="1" applyProtection="1">
      <alignment/>
      <protection hidden="1"/>
    </xf>
    <xf numFmtId="0" fontId="0" fillId="3" borderId="102" xfId="0" applyFill="1" applyBorder="1" applyAlignment="1" applyProtection="1">
      <alignment/>
      <protection hidden="1"/>
    </xf>
    <xf numFmtId="0" fontId="0" fillId="3" borderId="103" xfId="0" applyFill="1" applyBorder="1" applyAlignment="1" applyProtection="1">
      <alignment/>
      <protection hidden="1"/>
    </xf>
    <xf numFmtId="0" fontId="0" fillId="3" borderId="104" xfId="0" applyFill="1" applyBorder="1" applyAlignment="1" applyProtection="1">
      <alignment/>
      <protection hidden="1"/>
    </xf>
    <xf numFmtId="0" fontId="0" fillId="3" borderId="105" xfId="0" applyFill="1" applyBorder="1" applyAlignment="1" applyProtection="1">
      <alignment/>
      <protection hidden="1"/>
    </xf>
    <xf numFmtId="0" fontId="0" fillId="3" borderId="106" xfId="0" applyFill="1" applyBorder="1" applyAlignment="1" applyProtection="1">
      <alignment/>
      <protection hidden="1"/>
    </xf>
    <xf numFmtId="0" fontId="0" fillId="3" borderId="107" xfId="0" applyFill="1" applyBorder="1" applyAlignment="1" applyProtection="1">
      <alignment/>
      <protection hidden="1"/>
    </xf>
    <xf numFmtId="0" fontId="0" fillId="3" borderId="108" xfId="0" applyFill="1" applyBorder="1" applyAlignment="1" applyProtection="1">
      <alignment/>
      <protection hidden="1"/>
    </xf>
    <xf numFmtId="0" fontId="0" fillId="3" borderId="109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9" fontId="20" fillId="2" borderId="25" xfId="0" applyNumberFormat="1" applyFont="1" applyFill="1" applyBorder="1" applyAlignment="1" applyProtection="1">
      <alignment/>
      <protection hidden="1" locked="0"/>
    </xf>
    <xf numFmtId="0" fontId="19" fillId="9" borderId="110" xfId="0" applyFont="1" applyFill="1" applyBorder="1" applyAlignment="1" applyProtection="1">
      <alignment wrapText="1"/>
      <protection hidden="1"/>
    </xf>
    <xf numFmtId="0" fontId="5" fillId="5" borderId="63" xfId="0" applyFont="1" applyFill="1" applyBorder="1" applyAlignment="1" applyProtection="1">
      <alignment horizontal="left"/>
      <protection hidden="1"/>
    </xf>
    <xf numFmtId="0" fontId="9" fillId="7" borderId="97" xfId="0" applyFont="1" applyFill="1" applyBorder="1" applyAlignment="1" applyProtection="1">
      <alignment horizontal="center" vertical="center"/>
      <protection hidden="1"/>
    </xf>
    <xf numFmtId="0" fontId="9" fillId="7" borderId="98" xfId="0" applyFont="1" applyFill="1" applyBorder="1" applyAlignment="1" applyProtection="1">
      <alignment horizontal="center" vertical="center"/>
      <protection hidden="1"/>
    </xf>
    <xf numFmtId="0" fontId="9" fillId="7" borderId="99" xfId="0" applyFont="1" applyFill="1" applyBorder="1" applyAlignment="1" applyProtection="1">
      <alignment horizontal="center" vertical="center"/>
      <protection hidden="1"/>
    </xf>
    <xf numFmtId="0" fontId="9" fillId="7" borderId="88" xfId="0" applyFont="1" applyFill="1" applyBorder="1" applyAlignment="1" applyProtection="1">
      <alignment horizontal="center" vertical="center"/>
      <protection hidden="1"/>
    </xf>
    <xf numFmtId="177" fontId="5" fillId="2" borderId="111" xfId="0" applyNumberFormat="1" applyFont="1" applyFill="1" applyBorder="1" applyAlignment="1" applyProtection="1">
      <alignment/>
      <protection hidden="1"/>
    </xf>
    <xf numFmtId="177" fontId="5" fillId="13" borderId="112" xfId="0" applyNumberFormat="1" applyFont="1" applyFill="1" applyBorder="1" applyAlignment="1" applyProtection="1">
      <alignment/>
      <protection hidden="1"/>
    </xf>
    <xf numFmtId="179" fontId="0" fillId="12" borderId="0" xfId="0" applyNumberFormat="1" applyFill="1" applyBorder="1" applyAlignment="1" applyProtection="1">
      <alignment/>
      <protection hidden="1"/>
    </xf>
    <xf numFmtId="179" fontId="0" fillId="12" borderId="73" xfId="0" applyNumberFormat="1" applyFill="1" applyBorder="1" applyAlignment="1" applyProtection="1">
      <alignment/>
      <protection hidden="1"/>
    </xf>
    <xf numFmtId="0" fontId="5" fillId="10" borderId="113" xfId="0" applyFont="1" applyFill="1" applyBorder="1" applyAlignment="1" applyProtection="1">
      <alignment horizontal="left"/>
      <protection hidden="1"/>
    </xf>
    <xf numFmtId="177" fontId="5" fillId="2" borderId="114" xfId="0" applyNumberFormat="1" applyFont="1" applyFill="1" applyBorder="1" applyAlignment="1" applyProtection="1">
      <alignment/>
      <protection hidden="1"/>
    </xf>
    <xf numFmtId="177" fontId="5" fillId="13" borderId="115" xfId="0" applyNumberFormat="1" applyFont="1" applyFill="1" applyBorder="1" applyAlignment="1" applyProtection="1">
      <alignment/>
      <protection hidden="1"/>
    </xf>
    <xf numFmtId="0" fontId="9" fillId="4" borderId="116" xfId="0" applyFont="1" applyFill="1" applyBorder="1" applyAlignment="1" applyProtection="1">
      <alignment horizontal="center" vertical="center"/>
      <protection hidden="1"/>
    </xf>
    <xf numFmtId="0" fontId="9" fillId="4" borderId="117" xfId="0" applyFont="1" applyFill="1" applyBorder="1" applyAlignment="1" applyProtection="1">
      <alignment horizontal="center" vertical="center"/>
      <protection hidden="1"/>
    </xf>
    <xf numFmtId="0" fontId="9" fillId="4" borderId="118" xfId="0" applyFont="1" applyFill="1" applyBorder="1" applyAlignment="1" applyProtection="1">
      <alignment horizontal="center" vertical="center"/>
      <protection hidden="1"/>
    </xf>
    <xf numFmtId="0" fontId="9" fillId="4" borderId="119" xfId="0" applyFont="1" applyFill="1" applyBorder="1" applyAlignment="1" applyProtection="1">
      <alignment horizontal="center" vertical="center"/>
      <protection hidden="1"/>
    </xf>
    <xf numFmtId="0" fontId="9" fillId="4" borderId="120" xfId="0" applyFont="1" applyFill="1" applyBorder="1" applyAlignment="1" applyProtection="1">
      <alignment horizontal="center" vertical="center"/>
      <protection hidden="1"/>
    </xf>
    <xf numFmtId="0" fontId="9" fillId="4" borderId="121" xfId="0" applyFont="1" applyFill="1" applyBorder="1" applyAlignment="1" applyProtection="1">
      <alignment horizontal="center" vertical="center"/>
      <protection hidden="1"/>
    </xf>
    <xf numFmtId="0" fontId="9" fillId="4" borderId="122" xfId="0" applyFont="1" applyFill="1" applyBorder="1" applyAlignment="1" applyProtection="1">
      <alignment horizontal="center" vertical="center"/>
      <protection hidden="1"/>
    </xf>
    <xf numFmtId="0" fontId="9" fillId="4" borderId="96" xfId="0" applyFont="1" applyFill="1" applyBorder="1" applyAlignment="1" applyProtection="1">
      <alignment horizontal="center" vertical="center"/>
      <protection hidden="1"/>
    </xf>
    <xf numFmtId="179" fontId="17" fillId="10" borderId="78" xfId="0" applyNumberFormat="1" applyFont="1" applyFill="1" applyBorder="1" applyAlignment="1" applyProtection="1">
      <alignment horizontal="left" vertical="center" shrinkToFit="1"/>
      <protection hidden="1"/>
    </xf>
    <xf numFmtId="0" fontId="2" fillId="3" borderId="123" xfId="0" applyFont="1" applyFill="1" applyBorder="1" applyAlignment="1" applyProtection="1">
      <alignment horizontal="center"/>
      <protection hidden="1" locked="0"/>
    </xf>
    <xf numFmtId="0" fontId="2" fillId="3" borderId="124" xfId="0" applyFont="1" applyFill="1" applyBorder="1" applyAlignment="1" applyProtection="1">
      <alignment horizontal="center"/>
      <protection hidden="1" locked="0"/>
    </xf>
    <xf numFmtId="0" fontId="2" fillId="3" borderId="125" xfId="0" applyFont="1" applyFill="1" applyBorder="1" applyAlignment="1" applyProtection="1">
      <alignment horizontal="center"/>
      <protection hidden="1" locked="0"/>
    </xf>
    <xf numFmtId="0" fontId="2" fillId="3" borderId="126" xfId="0" applyFont="1" applyFill="1" applyBorder="1" applyAlignment="1" applyProtection="1">
      <alignment horizontal="center"/>
      <protection hidden="1" locked="0"/>
    </xf>
    <xf numFmtId="0" fontId="2" fillId="3" borderId="127" xfId="0" applyFont="1" applyFill="1" applyBorder="1" applyAlignment="1" applyProtection="1">
      <alignment horizontal="center"/>
      <protection hidden="1" locked="0"/>
    </xf>
    <xf numFmtId="0" fontId="2" fillId="3" borderId="128" xfId="0" applyFont="1" applyFill="1" applyBorder="1" applyAlignment="1" applyProtection="1">
      <alignment horizontal="center"/>
      <protection hidden="1" locked="0"/>
    </xf>
    <xf numFmtId="0" fontId="2" fillId="3" borderId="129" xfId="0" applyFont="1" applyFill="1" applyBorder="1" applyAlignment="1" applyProtection="1">
      <alignment horizontal="center"/>
      <protection hidden="1" locked="0"/>
    </xf>
    <xf numFmtId="179" fontId="5" fillId="4" borderId="0" xfId="0" applyNumberFormat="1" applyFont="1" applyFill="1" applyBorder="1" applyAlignment="1" applyProtection="1">
      <alignment horizontal="left" vertical="center" shrinkToFit="1"/>
      <protection hidden="1"/>
    </xf>
    <xf numFmtId="0" fontId="16" fillId="10" borderId="94" xfId="0" applyNumberFormat="1" applyFont="1" applyFill="1" applyBorder="1" applyAlignment="1" applyProtection="1">
      <alignment horizontal="center" vertical="center" shrinkToFit="1"/>
      <protection hidden="1"/>
    </xf>
    <xf numFmtId="179" fontId="14" fillId="4" borderId="83" xfId="0" applyNumberFormat="1" applyFont="1" applyFill="1" applyBorder="1" applyAlignment="1" applyProtection="1">
      <alignment horizontal="left" vertical="center" shrinkToFit="1"/>
      <protection locked="0"/>
    </xf>
    <xf numFmtId="179" fontId="5" fillId="4" borderId="74" xfId="0" applyNumberFormat="1" applyFont="1" applyFill="1" applyBorder="1" applyAlignment="1" applyProtection="1">
      <alignment horizontal="left" vertical="center" shrinkToFit="1"/>
      <protection hidden="1"/>
    </xf>
    <xf numFmtId="179" fontId="14" fillId="4" borderId="84" xfId="0" applyNumberFormat="1" applyFont="1" applyFill="1" applyBorder="1" applyAlignment="1" applyProtection="1">
      <alignment horizontal="left" vertical="center" shrinkToFit="1"/>
      <protection locked="0"/>
    </xf>
    <xf numFmtId="179" fontId="5" fillId="4" borderId="130" xfId="0" applyNumberFormat="1" applyFont="1" applyFill="1" applyBorder="1" applyAlignment="1" applyProtection="1">
      <alignment horizontal="left" vertical="center" shrinkToFit="1"/>
      <protection hidden="1"/>
    </xf>
    <xf numFmtId="0" fontId="5" fillId="6" borderId="26" xfId="0" applyFont="1" applyFill="1" applyBorder="1" applyAlignment="1" applyProtection="1">
      <alignment horizontal="centerContinuous" vertical="center"/>
      <protection hidden="1"/>
    </xf>
    <xf numFmtId="179" fontId="5" fillId="4" borderId="131" xfId="0" applyNumberFormat="1" applyFont="1" applyFill="1" applyBorder="1" applyAlignment="1" applyProtection="1">
      <alignment horizontal="left" vertical="center" shrinkToFit="1"/>
      <protection hidden="1"/>
    </xf>
    <xf numFmtId="0" fontId="2" fillId="3" borderId="36" xfId="0" applyNumberFormat="1" applyFont="1" applyFill="1" applyBorder="1" applyAlignment="1" applyProtection="1">
      <alignment horizontal="center"/>
      <protection hidden="1"/>
    </xf>
    <xf numFmtId="0" fontId="2" fillId="3" borderId="9" xfId="0" applyNumberFormat="1" applyFont="1" applyFill="1" applyBorder="1" applyAlignment="1" applyProtection="1">
      <alignment horizontal="center"/>
      <protection hidden="1"/>
    </xf>
    <xf numFmtId="0" fontId="8" fillId="6" borderId="49" xfId="0" applyFont="1" applyFill="1" applyBorder="1" applyAlignment="1" applyProtection="1">
      <alignment horizontal="center" vertical="center"/>
      <protection hidden="1"/>
    </xf>
    <xf numFmtId="0" fontId="8" fillId="6" borderId="132" xfId="0" applyFont="1" applyFill="1" applyBorder="1" applyAlignment="1" applyProtection="1">
      <alignment horizontal="center" vertical="center"/>
      <protection hidden="1"/>
    </xf>
    <xf numFmtId="179" fontId="5" fillId="8" borderId="133" xfId="0" applyNumberFormat="1" applyFont="1" applyFill="1" applyBorder="1" applyAlignment="1" applyProtection="1">
      <alignment horizontal="left" vertical="center" shrinkToFit="1"/>
      <protection hidden="1"/>
    </xf>
    <xf numFmtId="179" fontId="5" fillId="8" borderId="134" xfId="0" applyNumberFormat="1" applyFont="1" applyFill="1" applyBorder="1" applyAlignment="1" applyProtection="1">
      <alignment horizontal="left" vertical="center" shrinkToFit="1"/>
      <protection hidden="1"/>
    </xf>
    <xf numFmtId="179" fontId="5" fillId="8" borderId="135" xfId="0" applyNumberFormat="1" applyFont="1" applyFill="1" applyBorder="1" applyAlignment="1" applyProtection="1">
      <alignment horizontal="left" vertical="center" shrinkToFit="1"/>
      <protection hidden="1"/>
    </xf>
    <xf numFmtId="179" fontId="5" fillId="8" borderId="136" xfId="0" applyNumberFormat="1" applyFont="1" applyFill="1" applyBorder="1" applyAlignment="1" applyProtection="1">
      <alignment horizontal="left" vertical="center" shrinkToFit="1"/>
      <protection hidden="1"/>
    </xf>
    <xf numFmtId="179" fontId="5" fillId="8" borderId="137" xfId="0" applyNumberFormat="1" applyFont="1" applyFill="1" applyBorder="1" applyAlignment="1" applyProtection="1">
      <alignment horizontal="left" vertical="center" shrinkToFit="1"/>
      <protection hidden="1"/>
    </xf>
    <xf numFmtId="179" fontId="7" fillId="12" borderId="0" xfId="0" applyNumberFormat="1" applyFont="1" applyFill="1" applyBorder="1" applyAlignment="1" applyProtection="1">
      <alignment/>
      <protection hidden="1"/>
    </xf>
    <xf numFmtId="179" fontId="0" fillId="10" borderId="74" xfId="0" applyNumberFormat="1" applyFill="1" applyBorder="1" applyAlignment="1" applyProtection="1">
      <alignment/>
      <protection locked="0"/>
    </xf>
    <xf numFmtId="179" fontId="0" fillId="10" borderId="130" xfId="0" applyNumberFormat="1" applyFill="1" applyBorder="1" applyAlignment="1" applyProtection="1">
      <alignment/>
      <protection locked="0"/>
    </xf>
    <xf numFmtId="179" fontId="5" fillId="6" borderId="138" xfId="0" applyNumberFormat="1" applyFont="1" applyFill="1" applyBorder="1" applyAlignment="1" applyProtection="1">
      <alignment horizontal="left" vertical="center" shrinkToFit="1"/>
      <protection hidden="1" locked="0"/>
    </xf>
    <xf numFmtId="0" fontId="9" fillId="5" borderId="139" xfId="0" applyFont="1" applyFill="1" applyBorder="1" applyAlignment="1" applyProtection="1">
      <alignment horizontal="center" vertical="center"/>
      <protection hidden="1"/>
    </xf>
    <xf numFmtId="0" fontId="5" fillId="5" borderId="140" xfId="0" applyFont="1" applyFill="1" applyBorder="1" applyAlignment="1" applyProtection="1">
      <alignment horizontal="left"/>
      <protection hidden="1"/>
    </xf>
    <xf numFmtId="179" fontId="17" fillId="10" borderId="141" xfId="0" applyNumberFormat="1" applyFont="1" applyFill="1" applyBorder="1" applyAlignment="1" applyProtection="1">
      <alignment horizontal="left" vertical="center" shrinkToFit="1"/>
      <protection hidden="1"/>
    </xf>
    <xf numFmtId="179" fontId="5" fillId="10" borderId="131" xfId="0" applyNumberFormat="1" applyFont="1" applyFill="1" applyBorder="1" applyAlignment="1" applyProtection="1">
      <alignment horizontal="left" vertical="center" shrinkToFit="1"/>
      <protection hidden="1" locked="0"/>
    </xf>
    <xf numFmtId="179" fontId="17" fillId="6" borderId="79" xfId="0" applyNumberFormat="1" applyFont="1" applyFill="1" applyBorder="1" applyAlignment="1" applyProtection="1">
      <alignment horizontal="left" vertical="center" shrinkToFit="1"/>
      <protection hidden="1"/>
    </xf>
    <xf numFmtId="179" fontId="18" fillId="9" borderId="0" xfId="0" applyNumberFormat="1" applyFont="1" applyFill="1" applyBorder="1" applyAlignment="1" applyProtection="1">
      <alignment shrinkToFit="1"/>
      <protection hidden="1"/>
    </xf>
    <xf numFmtId="179" fontId="0" fillId="9" borderId="0" xfId="0" applyNumberFormat="1" applyFill="1" applyBorder="1" applyAlignment="1" applyProtection="1">
      <alignment/>
      <protection hidden="1"/>
    </xf>
    <xf numFmtId="0" fontId="9" fillId="5" borderId="18" xfId="0" applyFont="1" applyFill="1" applyBorder="1" applyAlignment="1" applyProtection="1">
      <alignment horizontal="left" vertical="center"/>
      <protection hidden="1"/>
    </xf>
    <xf numFmtId="0" fontId="9" fillId="5" borderId="87" xfId="0" applyFont="1" applyFill="1" applyBorder="1" applyAlignment="1" applyProtection="1">
      <alignment horizontal="left" vertical="center"/>
      <protection hidden="1"/>
    </xf>
    <xf numFmtId="0" fontId="5" fillId="8" borderId="29" xfId="0" applyFont="1" applyFill="1" applyBorder="1" applyAlignment="1" applyProtection="1">
      <alignment/>
      <protection hidden="1"/>
    </xf>
    <xf numFmtId="0" fontId="0" fillId="8" borderId="30" xfId="0" applyFill="1" applyBorder="1" applyAlignment="1" applyProtection="1">
      <alignment/>
      <protection hidden="1"/>
    </xf>
    <xf numFmtId="0" fontId="5" fillId="8" borderId="34" xfId="0" applyFont="1" applyFill="1" applyBorder="1" applyAlignment="1" applyProtection="1">
      <alignment/>
      <protection hidden="1"/>
    </xf>
    <xf numFmtId="0" fontId="5" fillId="8" borderId="30" xfId="0" applyFont="1" applyFill="1" applyBorder="1" applyAlignment="1" applyProtection="1">
      <alignment/>
      <protection hidden="1"/>
    </xf>
    <xf numFmtId="0" fontId="9" fillId="5" borderId="142" xfId="0" applyFont="1" applyFill="1" applyBorder="1" applyAlignment="1" applyProtection="1">
      <alignment horizontal="right" vertical="center"/>
      <protection hidden="1"/>
    </xf>
    <xf numFmtId="0" fontId="9" fillId="5" borderId="142" xfId="0" applyFont="1" applyFill="1" applyBorder="1" applyAlignment="1" applyProtection="1">
      <alignment horizontal="center" vertical="center"/>
      <protection hidden="1"/>
    </xf>
    <xf numFmtId="0" fontId="9" fillId="5" borderId="143" xfId="0" applyFont="1" applyFill="1" applyBorder="1" applyAlignment="1" applyProtection="1">
      <alignment horizontal="center" vertical="center"/>
      <protection hidden="1"/>
    </xf>
    <xf numFmtId="0" fontId="9" fillId="5" borderId="144" xfId="0" applyFont="1" applyFill="1" applyBorder="1" applyAlignment="1" applyProtection="1">
      <alignment horizontal="right" vertical="center"/>
      <protection hidden="1"/>
    </xf>
    <xf numFmtId="0" fontId="9" fillId="5" borderId="144" xfId="0" applyFont="1" applyFill="1" applyBorder="1" applyAlignment="1" applyProtection="1">
      <alignment horizontal="center" vertical="center"/>
      <protection hidden="1"/>
    </xf>
    <xf numFmtId="0" fontId="9" fillId="5" borderId="145" xfId="0" applyFont="1" applyFill="1" applyBorder="1" applyAlignment="1" applyProtection="1">
      <alignment horizontal="center" vertical="center"/>
      <protection hidden="1"/>
    </xf>
    <xf numFmtId="0" fontId="5" fillId="5" borderId="146" xfId="0" applyFont="1" applyFill="1" applyBorder="1" applyAlignment="1" applyProtection="1">
      <alignment horizontal="left"/>
      <protection hidden="1"/>
    </xf>
    <xf numFmtId="0" fontId="9" fillId="5" borderId="147" xfId="0" applyFont="1" applyFill="1" applyBorder="1" applyAlignment="1" applyProtection="1">
      <alignment horizontal="center" vertical="center"/>
      <protection hidden="1"/>
    </xf>
    <xf numFmtId="0" fontId="9" fillId="5" borderId="148" xfId="0" applyFont="1" applyFill="1" applyBorder="1" applyAlignment="1" applyProtection="1">
      <alignment horizontal="center" vertical="center"/>
      <protection hidden="1"/>
    </xf>
    <xf numFmtId="0" fontId="9" fillId="5" borderId="149" xfId="0" applyFont="1" applyFill="1" applyBorder="1" applyAlignment="1" applyProtection="1">
      <alignment horizontal="center" vertical="center"/>
      <protection hidden="1"/>
    </xf>
    <xf numFmtId="177" fontId="5" fillId="2" borderId="150" xfId="0" applyNumberFormat="1" applyFont="1" applyFill="1" applyBorder="1" applyAlignment="1" applyProtection="1">
      <alignment/>
      <protection hidden="1"/>
    </xf>
    <xf numFmtId="177" fontId="5" fillId="13" borderId="151" xfId="0" applyNumberFormat="1" applyFont="1" applyFill="1" applyBorder="1" applyAlignment="1" applyProtection="1">
      <alignment/>
      <protection hidden="1"/>
    </xf>
    <xf numFmtId="0" fontId="9" fillId="5" borderId="152" xfId="0" applyFont="1" applyFill="1" applyBorder="1" applyAlignment="1" applyProtection="1">
      <alignment horizontal="center" vertical="center"/>
      <protection hidden="1"/>
    </xf>
    <xf numFmtId="0" fontId="9" fillId="5" borderId="153" xfId="0" applyFont="1" applyFill="1" applyBorder="1" applyAlignment="1" applyProtection="1">
      <alignment horizontal="right" vertical="center"/>
      <protection hidden="1"/>
    </xf>
    <xf numFmtId="0" fontId="9" fillId="5" borderId="52" xfId="0" applyFont="1" applyFill="1" applyBorder="1" applyAlignment="1" applyProtection="1">
      <alignment horizontal="center" vertical="center"/>
      <protection hidden="1"/>
    </xf>
    <xf numFmtId="0" fontId="9" fillId="5" borderId="154" xfId="0" applyFont="1" applyFill="1" applyBorder="1" applyAlignment="1" applyProtection="1">
      <alignment horizontal="center" vertical="center"/>
      <protection hidden="1"/>
    </xf>
    <xf numFmtId="0" fontId="9" fillId="5" borderId="155" xfId="0" applyFont="1" applyFill="1" applyBorder="1" applyAlignment="1" applyProtection="1">
      <alignment horizontal="center" vertical="center"/>
      <protection hidden="1"/>
    </xf>
    <xf numFmtId="0" fontId="9" fillId="5" borderId="156" xfId="0" applyFont="1" applyFill="1" applyBorder="1" applyAlignment="1" applyProtection="1">
      <alignment horizontal="right" vertical="center"/>
      <protection hidden="1"/>
    </xf>
    <xf numFmtId="0" fontId="9" fillId="5" borderId="157" xfId="0" applyFont="1" applyFill="1" applyBorder="1" applyAlignment="1" applyProtection="1">
      <alignment horizontal="center" vertical="center"/>
      <protection hidden="1"/>
    </xf>
    <xf numFmtId="0" fontId="2" fillId="3" borderId="158" xfId="0" applyFont="1" applyFill="1" applyBorder="1" applyAlignment="1" applyProtection="1">
      <alignment horizontal="center"/>
      <protection hidden="1" locked="0"/>
    </xf>
    <xf numFmtId="0" fontId="9" fillId="5" borderId="152" xfId="0" applyFont="1" applyFill="1" applyBorder="1" applyAlignment="1" applyProtection="1">
      <alignment horizontal="left" vertical="center"/>
      <protection hidden="1"/>
    </xf>
    <xf numFmtId="0" fontId="9" fillId="5" borderId="159" xfId="0" applyFont="1" applyFill="1" applyBorder="1" applyAlignment="1" applyProtection="1">
      <alignment horizontal="right" vertical="center"/>
      <protection hidden="1"/>
    </xf>
    <xf numFmtId="0" fontId="9" fillId="5" borderId="159" xfId="0" applyFont="1" applyFill="1" applyBorder="1" applyAlignment="1" applyProtection="1">
      <alignment horizontal="center" vertical="center"/>
      <protection hidden="1"/>
    </xf>
    <xf numFmtId="0" fontId="9" fillId="5" borderId="160" xfId="0" applyFont="1" applyFill="1" applyBorder="1" applyAlignment="1" applyProtection="1">
      <alignment horizontal="center" vertical="center"/>
      <protection hidden="1"/>
    </xf>
    <xf numFmtId="0" fontId="5" fillId="8" borderId="40" xfId="0" applyFont="1" applyFill="1" applyBorder="1" applyAlignment="1" applyProtection="1">
      <alignment horizontal="left" vertical="center"/>
      <protection hidden="1"/>
    </xf>
    <xf numFmtId="0" fontId="0" fillId="8" borderId="41" xfId="0" applyFill="1" applyBorder="1" applyAlignment="1" applyProtection="1">
      <alignment/>
      <protection hidden="1"/>
    </xf>
    <xf numFmtId="0" fontId="5" fillId="8" borderId="43" xfId="0" applyFont="1" applyFill="1" applyBorder="1" applyAlignment="1" applyProtection="1">
      <alignment/>
      <protection hidden="1"/>
    </xf>
    <xf numFmtId="0" fontId="5" fillId="8" borderId="41" xfId="0" applyFont="1" applyFill="1" applyBorder="1" applyAlignment="1" applyProtection="1">
      <alignment/>
      <protection hidden="1"/>
    </xf>
    <xf numFmtId="177" fontId="5" fillId="2" borderId="115" xfId="0" applyNumberFormat="1" applyFont="1" applyFill="1" applyBorder="1" applyAlignment="1" applyProtection="1">
      <alignment/>
      <protection hidden="1"/>
    </xf>
    <xf numFmtId="0" fontId="9" fillId="8" borderId="11" xfId="0" applyFont="1" applyFill="1" applyBorder="1" applyAlignment="1" applyProtection="1">
      <alignment horizontal="center" vertical="center"/>
      <protection hidden="1"/>
    </xf>
    <xf numFmtId="0" fontId="9" fillId="7" borderId="36" xfId="0" applyNumberFormat="1" applyFont="1" applyFill="1" applyBorder="1" applyAlignment="1" applyProtection="1">
      <alignment horizontal="center" vertical="center"/>
      <protection hidden="1"/>
    </xf>
    <xf numFmtId="0" fontId="5" fillId="5" borderId="161" xfId="0" applyFont="1" applyFill="1" applyBorder="1" applyAlignment="1" applyProtection="1">
      <alignment horizontal="left"/>
      <protection hidden="1"/>
    </xf>
    <xf numFmtId="0" fontId="9" fillId="5" borderId="162" xfId="0" applyFont="1" applyFill="1" applyBorder="1" applyAlignment="1" applyProtection="1">
      <alignment horizontal="center" vertical="center"/>
      <protection hidden="1"/>
    </xf>
    <xf numFmtId="0" fontId="2" fillId="3" borderId="126" xfId="0" applyNumberFormat="1" applyFont="1" applyFill="1" applyBorder="1" applyAlignment="1" applyProtection="1">
      <alignment horizontal="center"/>
      <protection hidden="1" locked="0"/>
    </xf>
    <xf numFmtId="0" fontId="9" fillId="5" borderId="163" xfId="0" applyFont="1" applyFill="1" applyBorder="1" applyAlignment="1" applyProtection="1">
      <alignment horizontal="right" vertical="center"/>
      <protection hidden="1"/>
    </xf>
    <xf numFmtId="0" fontId="9" fillId="5" borderId="163" xfId="0" applyFont="1" applyFill="1" applyBorder="1" applyAlignment="1" applyProtection="1">
      <alignment horizontal="center" vertical="center"/>
      <protection hidden="1"/>
    </xf>
    <xf numFmtId="0" fontId="9" fillId="5" borderId="164" xfId="0" applyFont="1" applyFill="1" applyBorder="1" applyAlignment="1" applyProtection="1">
      <alignment horizontal="center" vertical="center"/>
      <protection hidden="1"/>
    </xf>
    <xf numFmtId="0" fontId="0" fillId="8" borderId="142" xfId="0" applyFill="1" applyBorder="1" applyAlignment="1" applyProtection="1">
      <alignment/>
      <protection hidden="1"/>
    </xf>
    <xf numFmtId="1" fontId="2" fillId="3" borderId="142" xfId="0" applyNumberFormat="1" applyFont="1" applyFill="1" applyBorder="1" applyAlignment="1" applyProtection="1">
      <alignment horizontal="center"/>
      <protection hidden="1"/>
    </xf>
    <xf numFmtId="0" fontId="5" fillId="8" borderId="142" xfId="0" applyFont="1" applyFill="1" applyBorder="1" applyAlignment="1" applyProtection="1">
      <alignment/>
      <protection hidden="1"/>
    </xf>
    <xf numFmtId="0" fontId="5" fillId="8" borderId="13" xfId="0" applyFont="1" applyFill="1" applyBorder="1" applyAlignment="1" applyProtection="1">
      <alignment/>
      <protection hidden="1"/>
    </xf>
    <xf numFmtId="0" fontId="0" fillId="8" borderId="165" xfId="0" applyFill="1" applyBorder="1" applyAlignment="1" applyProtection="1">
      <alignment/>
      <protection hidden="1"/>
    </xf>
    <xf numFmtId="1" fontId="2" fillId="3" borderId="165" xfId="0" applyNumberFormat="1" applyFont="1" applyFill="1" applyBorder="1" applyAlignment="1" applyProtection="1">
      <alignment horizontal="center"/>
      <protection hidden="1"/>
    </xf>
    <xf numFmtId="0" fontId="5" fillId="8" borderId="165" xfId="0" applyFont="1" applyFill="1" applyBorder="1" applyAlignment="1" applyProtection="1">
      <alignment/>
      <protection hidden="1"/>
    </xf>
    <xf numFmtId="0" fontId="9" fillId="5" borderId="166" xfId="0" applyFont="1" applyFill="1" applyBorder="1" applyAlignment="1" applyProtection="1">
      <alignment horizontal="right" vertical="center"/>
      <protection hidden="1"/>
    </xf>
    <xf numFmtId="0" fontId="9" fillId="5" borderId="166" xfId="0" applyFont="1" applyFill="1" applyBorder="1" applyAlignment="1" applyProtection="1">
      <alignment horizontal="center" vertical="center"/>
      <protection hidden="1"/>
    </xf>
    <xf numFmtId="0" fontId="9" fillId="5" borderId="167" xfId="0" applyFont="1" applyFill="1" applyBorder="1" applyAlignment="1" applyProtection="1">
      <alignment horizontal="center" vertical="center"/>
      <protection hidden="1"/>
    </xf>
    <xf numFmtId="0" fontId="2" fillId="3" borderId="125" xfId="0" applyNumberFormat="1" applyFont="1" applyFill="1" applyBorder="1" applyAlignment="1" applyProtection="1">
      <alignment horizontal="center"/>
      <protection hidden="1" locked="0"/>
    </xf>
    <xf numFmtId="179" fontId="5" fillId="6" borderId="67" xfId="0" applyNumberFormat="1" applyFont="1" applyFill="1" applyBorder="1" applyAlignment="1" applyProtection="1">
      <alignment horizontal="left" vertical="center" shrinkToFit="1"/>
      <protection hidden="1"/>
    </xf>
    <xf numFmtId="179" fontId="14" fillId="6" borderId="168" xfId="0" applyNumberFormat="1" applyFont="1" applyFill="1" applyBorder="1" applyAlignment="1" applyProtection="1">
      <alignment horizontal="left" vertical="center" shrinkToFit="1"/>
      <protection/>
    </xf>
    <xf numFmtId="179" fontId="5" fillId="6" borderId="94" xfId="0" applyNumberFormat="1" applyFont="1" applyFill="1" applyBorder="1" applyAlignment="1" applyProtection="1">
      <alignment horizontal="left" vertical="center" shrinkToFit="1"/>
      <protection hidden="1"/>
    </xf>
    <xf numFmtId="0" fontId="0" fillId="6" borderId="0" xfId="0" applyFill="1" applyAlignment="1">
      <alignment/>
    </xf>
    <xf numFmtId="0" fontId="0" fillId="6" borderId="94" xfId="0" applyFill="1" applyBorder="1" applyAlignment="1">
      <alignment/>
    </xf>
    <xf numFmtId="179" fontId="5" fillId="6" borderId="141" xfId="0" applyNumberFormat="1" applyFont="1" applyFill="1" applyBorder="1" applyAlignment="1" applyProtection="1">
      <alignment horizontal="left" vertical="center" shrinkToFit="1"/>
      <protection hidden="1" locked="0"/>
    </xf>
    <xf numFmtId="179" fontId="5" fillId="6" borderId="169" xfId="0" applyNumberFormat="1" applyFont="1" applyFill="1" applyBorder="1" applyAlignment="1" applyProtection="1">
      <alignment horizontal="left" vertical="center" shrinkToFit="1"/>
      <protection hidden="1" locked="0"/>
    </xf>
    <xf numFmtId="0" fontId="0" fillId="6" borderId="170" xfId="0" applyFill="1" applyBorder="1" applyAlignment="1">
      <alignment/>
    </xf>
    <xf numFmtId="0" fontId="0" fillId="0" borderId="82" xfId="0" applyBorder="1" applyAlignment="1">
      <alignment/>
    </xf>
    <xf numFmtId="179" fontId="5" fillId="6" borderId="53" xfId="0" applyNumberFormat="1" applyFont="1" applyFill="1" applyBorder="1" applyAlignment="1" applyProtection="1">
      <alignment horizontal="left" vertical="center" shrinkToFit="1"/>
      <protection hidden="1" locked="0"/>
    </xf>
    <xf numFmtId="179" fontId="14" fillId="6" borderId="171" xfId="0" applyNumberFormat="1" applyFont="1" applyFill="1" applyBorder="1" applyAlignment="1" applyProtection="1">
      <alignment horizontal="left" vertical="center" shrinkToFit="1"/>
      <protection locked="0"/>
    </xf>
    <xf numFmtId="179" fontId="24" fillId="16" borderId="172" xfId="0" applyNumberFormat="1" applyFont="1" applyFill="1" applyBorder="1" applyAlignment="1" applyProtection="1">
      <alignment horizontal="left" vertical="center" shrinkToFit="1"/>
      <protection hidden="1"/>
    </xf>
    <xf numFmtId="179" fontId="24" fillId="16" borderId="173" xfId="0" applyNumberFormat="1" applyFont="1" applyFill="1" applyBorder="1" applyAlignment="1" applyProtection="1">
      <alignment horizontal="left" vertical="center" shrinkToFit="1"/>
      <protection hidden="1"/>
    </xf>
    <xf numFmtId="179" fontId="24" fillId="16" borderId="169" xfId="0" applyNumberFormat="1" applyFont="1" applyFill="1" applyBorder="1" applyAlignment="1" applyProtection="1">
      <alignment horizontal="left" vertical="center" shrinkToFit="1"/>
      <protection hidden="1"/>
    </xf>
    <xf numFmtId="179" fontId="24" fillId="16" borderId="174" xfId="0" applyNumberFormat="1" applyFont="1" applyFill="1" applyBorder="1" applyAlignment="1" applyProtection="1">
      <alignment horizontal="left" vertical="center" shrinkToFit="1"/>
      <protection hidden="1"/>
    </xf>
    <xf numFmtId="179" fontId="24" fillId="16" borderId="175" xfId="0" applyNumberFormat="1" applyFont="1" applyFill="1" applyBorder="1" applyAlignment="1" applyProtection="1">
      <alignment horizontal="left" vertical="center" shrinkToFit="1"/>
      <protection hidden="1"/>
    </xf>
    <xf numFmtId="179" fontId="24" fillId="16" borderId="176" xfId="0" applyNumberFormat="1" applyFont="1" applyFill="1" applyBorder="1" applyAlignment="1" applyProtection="1">
      <alignment horizontal="left" vertical="center" shrinkToFit="1"/>
      <protection hidden="1"/>
    </xf>
    <xf numFmtId="179" fontId="5" fillId="6" borderId="74" xfId="0" applyNumberFormat="1" applyFont="1" applyFill="1" applyBorder="1" applyAlignment="1" applyProtection="1">
      <alignment horizontal="left" vertical="center" shrinkToFit="1"/>
      <protection hidden="1" locked="0"/>
    </xf>
    <xf numFmtId="179" fontId="5" fillId="6" borderId="0" xfId="0" applyNumberFormat="1" applyFont="1" applyFill="1" applyBorder="1" applyAlignment="1" applyProtection="1">
      <alignment horizontal="left" vertical="center" shrinkToFit="1"/>
      <protection hidden="1" locked="0"/>
    </xf>
    <xf numFmtId="179" fontId="0" fillId="12" borderId="0" xfId="0" applyNumberFormat="1" applyFill="1" applyBorder="1" applyAlignment="1" applyProtection="1">
      <alignment/>
      <protection hidden="1" locked="0"/>
    </xf>
    <xf numFmtId="0" fontId="0" fillId="6" borderId="67" xfId="0" applyFill="1" applyBorder="1" applyAlignment="1">
      <alignment/>
    </xf>
    <xf numFmtId="0" fontId="0" fillId="6" borderId="168" xfId="0" applyFill="1" applyBorder="1" applyAlignment="1">
      <alignment/>
    </xf>
    <xf numFmtId="179" fontId="0" fillId="6" borderId="74" xfId="0" applyNumberFormat="1" applyFill="1" applyBorder="1" applyAlignment="1" applyProtection="1">
      <alignment/>
      <protection locked="0"/>
    </xf>
    <xf numFmtId="0" fontId="5" fillId="4" borderId="13" xfId="0" applyFont="1" applyFill="1" applyBorder="1" applyAlignment="1" applyProtection="1">
      <alignment/>
      <protection hidden="1"/>
    </xf>
    <xf numFmtId="0" fontId="5" fillId="7" borderId="161" xfId="0" applyFont="1" applyFill="1" applyBorder="1" applyAlignment="1" applyProtection="1">
      <alignment horizontal="left"/>
      <protection hidden="1"/>
    </xf>
    <xf numFmtId="0" fontId="9" fillId="7" borderId="177" xfId="0" applyFont="1" applyFill="1" applyBorder="1" applyAlignment="1" applyProtection="1">
      <alignment horizontal="center" vertical="center"/>
      <protection hidden="1"/>
    </xf>
    <xf numFmtId="0" fontId="9" fillId="8" borderId="95" xfId="0" applyFont="1" applyFill="1" applyBorder="1" applyAlignment="1" applyProtection="1">
      <alignment horizontal="center" vertical="center"/>
      <protection hidden="1"/>
    </xf>
    <xf numFmtId="0" fontId="0" fillId="12" borderId="78" xfId="0" applyFill="1" applyBorder="1" applyAlignment="1" applyProtection="1">
      <alignment/>
      <protection hidden="1"/>
    </xf>
    <xf numFmtId="0" fontId="8" fillId="6" borderId="26" xfId="0" applyFont="1" applyFill="1" applyBorder="1" applyAlignment="1" applyProtection="1">
      <alignment horizontal="centerContinuous" vertical="center"/>
      <protection hidden="1"/>
    </xf>
    <xf numFmtId="0" fontId="8" fillId="6" borderId="24" xfId="0" applyFont="1" applyFill="1" applyBorder="1" applyAlignment="1" applyProtection="1">
      <alignment horizontal="centerContinuous" vertical="center"/>
      <protection hidden="1"/>
    </xf>
    <xf numFmtId="179" fontId="5" fillId="17" borderId="178" xfId="0" applyNumberFormat="1" applyFont="1" applyFill="1" applyBorder="1" applyAlignment="1" applyProtection="1">
      <alignment horizontal="left" vertical="center" shrinkToFit="1"/>
      <protection hidden="1"/>
    </xf>
    <xf numFmtId="179" fontId="15" fillId="17" borderId="54" xfId="0" applyNumberFormat="1" applyFont="1" applyFill="1" applyBorder="1" applyAlignment="1" applyProtection="1">
      <alignment horizontal="left" vertical="center" shrinkToFit="1"/>
      <protection hidden="1"/>
    </xf>
    <xf numFmtId="179" fontId="15" fillId="17" borderId="179" xfId="0" applyNumberFormat="1" applyFont="1" applyFill="1" applyBorder="1" applyAlignment="1" applyProtection="1">
      <alignment horizontal="left" vertical="center" shrinkToFit="1"/>
      <protection hidden="1"/>
    </xf>
    <xf numFmtId="179" fontId="15" fillId="17" borderId="180" xfId="0" applyNumberFormat="1" applyFont="1" applyFill="1" applyBorder="1" applyAlignment="1" applyProtection="1">
      <alignment horizontal="left" vertical="center" shrinkToFit="1"/>
      <protection hidden="1"/>
    </xf>
    <xf numFmtId="0" fontId="16" fillId="10" borderId="78" xfId="0" applyNumberFormat="1" applyFont="1" applyFill="1" applyBorder="1" applyAlignment="1" applyProtection="1">
      <alignment horizontal="center" vertical="center" shrinkToFit="1"/>
      <protection hidden="1"/>
    </xf>
    <xf numFmtId="0" fontId="16" fillId="10" borderId="0" xfId="0" applyNumberFormat="1" applyFont="1" applyFill="1" applyBorder="1" applyAlignment="1" applyProtection="1">
      <alignment horizontal="center" vertical="center" shrinkToFit="1"/>
      <protection hidden="1"/>
    </xf>
    <xf numFmtId="179" fontId="16" fillId="10" borderId="79" xfId="0" applyNumberFormat="1" applyFont="1" applyFill="1" applyBorder="1" applyAlignment="1" applyProtection="1">
      <alignment horizontal="center" vertical="center" shrinkToFit="1"/>
      <protection hidden="1" locked="0"/>
    </xf>
    <xf numFmtId="179" fontId="5" fillId="14" borderId="136" xfId="0" applyNumberFormat="1" applyFont="1" applyFill="1" applyBorder="1" applyAlignment="1" applyProtection="1">
      <alignment horizontal="left" vertical="center" shrinkToFit="1"/>
      <protection hidden="1"/>
    </xf>
    <xf numFmtId="179" fontId="5" fillId="5" borderId="181" xfId="0" applyNumberFormat="1" applyFont="1" applyFill="1" applyBorder="1" applyAlignment="1" applyProtection="1">
      <alignment horizontal="left" vertical="center" shrinkToFit="1"/>
      <protection hidden="1"/>
    </xf>
    <xf numFmtId="179" fontId="15" fillId="14" borderId="134" xfId="0" applyNumberFormat="1" applyFont="1" applyFill="1" applyBorder="1" applyAlignment="1" applyProtection="1">
      <alignment horizontal="left" vertical="center" shrinkToFit="1"/>
      <protection hidden="1"/>
    </xf>
    <xf numFmtId="179" fontId="5" fillId="5" borderId="182" xfId="0" applyNumberFormat="1" applyFont="1" applyFill="1" applyBorder="1" applyAlignment="1" applyProtection="1">
      <alignment horizontal="left" vertical="center" shrinkToFit="1"/>
      <protection hidden="1"/>
    </xf>
    <xf numFmtId="179" fontId="15" fillId="14" borderId="135" xfId="0" applyNumberFormat="1" applyFont="1" applyFill="1" applyBorder="1" applyAlignment="1" applyProtection="1">
      <alignment horizontal="left" vertical="center" shrinkToFit="1"/>
      <protection hidden="1"/>
    </xf>
    <xf numFmtId="179" fontId="5" fillId="5" borderId="183" xfId="0" applyNumberFormat="1" applyFont="1" applyFill="1" applyBorder="1" applyAlignment="1" applyProtection="1">
      <alignment horizontal="left" vertical="center" shrinkToFit="1"/>
      <protection hidden="1"/>
    </xf>
    <xf numFmtId="179" fontId="5" fillId="5" borderId="184" xfId="0" applyNumberFormat="1" applyFont="1" applyFill="1" applyBorder="1" applyAlignment="1" applyProtection="1">
      <alignment horizontal="left" vertical="center" shrinkToFit="1"/>
      <protection hidden="1"/>
    </xf>
    <xf numFmtId="0" fontId="8" fillId="6" borderId="50" xfId="0" applyFont="1" applyFill="1" applyBorder="1" applyAlignment="1" applyProtection="1">
      <alignment horizontal="center" vertical="center"/>
      <protection hidden="1"/>
    </xf>
    <xf numFmtId="0" fontId="5" fillId="14" borderId="63" xfId="0" applyFont="1" applyFill="1" applyBorder="1" applyAlignment="1" applyProtection="1">
      <alignment horizontal="left"/>
      <protection hidden="1"/>
    </xf>
    <xf numFmtId="0" fontId="9" fillId="14" borderId="152" xfId="0" applyFont="1" applyFill="1" applyBorder="1" applyAlignment="1" applyProtection="1">
      <alignment horizontal="center" vertical="center"/>
      <protection hidden="1"/>
    </xf>
    <xf numFmtId="0" fontId="9" fillId="14" borderId="159" xfId="0" applyFont="1" applyFill="1" applyBorder="1" applyAlignment="1" applyProtection="1">
      <alignment horizontal="right" vertical="center"/>
      <protection hidden="1"/>
    </xf>
    <xf numFmtId="0" fontId="9" fillId="14" borderId="153" xfId="0" applyFont="1" applyFill="1" applyBorder="1" applyAlignment="1" applyProtection="1">
      <alignment horizontal="center" vertical="center"/>
      <protection hidden="1"/>
    </xf>
    <xf numFmtId="0" fontId="9" fillId="14" borderId="154" xfId="0" applyFont="1" applyFill="1" applyBorder="1" applyAlignment="1" applyProtection="1">
      <alignment horizontal="center" vertical="center"/>
      <protection hidden="1"/>
    </xf>
    <xf numFmtId="0" fontId="9" fillId="14" borderId="160" xfId="0" applyFont="1" applyFill="1" applyBorder="1" applyAlignment="1" applyProtection="1">
      <alignment horizontal="center" vertical="center"/>
      <protection hidden="1"/>
    </xf>
    <xf numFmtId="0" fontId="5" fillId="14" borderId="62" xfId="0" applyFont="1" applyFill="1" applyBorder="1" applyAlignment="1" applyProtection="1">
      <alignment horizontal="left"/>
      <protection hidden="1"/>
    </xf>
    <xf numFmtId="0" fontId="9" fillId="14" borderId="18" xfId="0" applyFont="1" applyFill="1" applyBorder="1" applyAlignment="1" applyProtection="1">
      <alignment horizontal="left" vertical="center"/>
      <protection hidden="1"/>
    </xf>
    <xf numFmtId="0" fontId="9" fillId="14" borderId="142" xfId="0" applyFont="1" applyFill="1" applyBorder="1" applyAlignment="1" applyProtection="1">
      <alignment horizontal="center" vertical="center"/>
      <protection hidden="1"/>
    </xf>
    <xf numFmtId="0" fontId="9" fillId="14" borderId="143" xfId="0" applyFont="1" applyFill="1" applyBorder="1" applyAlignment="1" applyProtection="1">
      <alignment horizontal="center" vertical="center"/>
      <protection hidden="1"/>
    </xf>
    <xf numFmtId="0" fontId="5" fillId="17" borderId="146" xfId="0" applyFont="1" applyFill="1" applyBorder="1" applyAlignment="1" applyProtection="1">
      <alignment horizontal="left"/>
      <protection hidden="1"/>
    </xf>
    <xf numFmtId="0" fontId="9" fillId="17" borderId="147" xfId="0" applyFont="1" applyFill="1" applyBorder="1" applyAlignment="1" applyProtection="1">
      <alignment horizontal="left" vertical="center"/>
      <protection hidden="1"/>
    </xf>
    <xf numFmtId="0" fontId="9" fillId="17" borderId="185" xfId="0" applyFont="1" applyFill="1" applyBorder="1" applyAlignment="1" applyProtection="1">
      <alignment horizontal="right" vertical="center"/>
      <protection hidden="1"/>
    </xf>
    <xf numFmtId="0" fontId="9" fillId="17" borderId="156" xfId="0" applyFont="1" applyFill="1" applyBorder="1" applyAlignment="1" applyProtection="1">
      <alignment horizontal="center" vertical="center"/>
      <protection hidden="1"/>
    </xf>
    <xf numFmtId="0" fontId="9" fillId="17" borderId="149" xfId="0" applyFont="1" applyFill="1" applyBorder="1" applyAlignment="1" applyProtection="1">
      <alignment horizontal="center" vertical="center"/>
      <protection hidden="1"/>
    </xf>
    <xf numFmtId="0" fontId="9" fillId="17" borderId="186" xfId="0" applyFont="1" applyFill="1" applyBorder="1" applyAlignment="1" applyProtection="1">
      <alignment horizontal="center" vertical="center"/>
      <protection hidden="1"/>
    </xf>
    <xf numFmtId="179" fontId="0" fillId="9" borderId="56" xfId="0" applyNumberFormat="1" applyFill="1" applyBorder="1" applyAlignment="1" applyProtection="1">
      <alignment/>
      <protection hidden="1"/>
    </xf>
    <xf numFmtId="0" fontId="9" fillId="10" borderId="11" xfId="0" applyNumberFormat="1" applyFont="1" applyFill="1" applyBorder="1" applyAlignment="1" applyProtection="1">
      <alignment horizontal="center" vertical="center"/>
      <protection hidden="1"/>
    </xf>
    <xf numFmtId="0" fontId="9" fillId="10" borderId="187" xfId="0" applyFont="1" applyFill="1" applyBorder="1" applyAlignment="1" applyProtection="1">
      <alignment horizontal="center" vertical="center"/>
      <protection hidden="1"/>
    </xf>
    <xf numFmtId="0" fontId="9" fillId="10" borderId="67" xfId="0" applyFont="1" applyFill="1" applyBorder="1" applyAlignment="1" applyProtection="1">
      <alignment horizontal="center" vertical="center"/>
      <protection hidden="1"/>
    </xf>
    <xf numFmtId="0" fontId="9" fillId="10" borderId="188" xfId="0" applyFont="1" applyFill="1" applyBorder="1" applyAlignment="1" applyProtection="1">
      <alignment horizontal="center" vertical="center"/>
      <protection hidden="1"/>
    </xf>
    <xf numFmtId="0" fontId="9" fillId="10" borderId="166" xfId="0" applyFont="1" applyFill="1" applyBorder="1" applyAlignment="1" applyProtection="1">
      <alignment horizontal="center" vertical="center"/>
      <protection hidden="1"/>
    </xf>
    <xf numFmtId="0" fontId="9" fillId="10" borderId="185" xfId="0" applyFont="1" applyFill="1" applyBorder="1" applyAlignment="1" applyProtection="1">
      <alignment horizontal="center" vertical="center"/>
      <protection hidden="1"/>
    </xf>
    <xf numFmtId="0" fontId="9" fillId="7" borderId="189" xfId="0" applyFont="1" applyFill="1" applyBorder="1" applyAlignment="1" applyProtection="1">
      <alignment horizontal="center" vertical="center"/>
      <protection hidden="1"/>
    </xf>
    <xf numFmtId="179" fontId="16" fillId="6" borderId="135" xfId="0" applyNumberFormat="1" applyFont="1" applyFill="1" applyBorder="1" applyAlignment="1" applyProtection="1">
      <alignment horizontal="center" vertical="center" shrinkToFit="1"/>
      <protection hidden="1" locked="0"/>
    </xf>
    <xf numFmtId="179" fontId="20" fillId="14" borderId="136" xfId="0" applyNumberFormat="1" applyFont="1" applyFill="1" applyBorder="1" applyAlignment="1" applyProtection="1">
      <alignment horizontal="left" vertical="center" shrinkToFit="1"/>
      <protection hidden="1"/>
    </xf>
    <xf numFmtId="179" fontId="14" fillId="14" borderId="134" xfId="0" applyNumberFormat="1" applyFont="1" applyFill="1" applyBorder="1" applyAlignment="1" applyProtection="1">
      <alignment horizontal="left" vertical="center" shrinkToFit="1"/>
      <protection hidden="1"/>
    </xf>
    <xf numFmtId="179" fontId="14" fillId="14" borderId="135" xfId="0" applyNumberFormat="1" applyFont="1" applyFill="1" applyBorder="1" applyAlignment="1" applyProtection="1">
      <alignment horizontal="left" vertical="center" shrinkToFit="1"/>
      <protection hidden="1"/>
    </xf>
    <xf numFmtId="179" fontId="14" fillId="14" borderId="137" xfId="0" applyNumberFormat="1" applyFont="1" applyFill="1" applyBorder="1" applyAlignment="1" applyProtection="1">
      <alignment horizontal="left" vertical="center" shrinkToFit="1"/>
      <protection hidden="1"/>
    </xf>
    <xf numFmtId="0" fontId="16" fillId="6" borderId="190" xfId="0" applyNumberFormat="1" applyFont="1" applyFill="1" applyBorder="1" applyAlignment="1" applyProtection="1">
      <alignment horizontal="center" vertical="center" shrinkToFit="1"/>
      <protection hidden="1"/>
    </xf>
    <xf numFmtId="0" fontId="16" fillId="10" borderId="54" xfId="0" applyNumberFormat="1" applyFont="1" applyFill="1" applyBorder="1" applyAlignment="1" applyProtection="1">
      <alignment horizontal="center" vertical="center" shrinkToFit="1"/>
      <protection hidden="1"/>
    </xf>
    <xf numFmtId="179" fontId="16" fillId="10" borderId="179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10" borderId="82" xfId="0" applyFill="1" applyBorder="1" applyAlignment="1">
      <alignment/>
    </xf>
    <xf numFmtId="179" fontId="5" fillId="10" borderId="0" xfId="0" applyNumberFormat="1" applyFont="1" applyFill="1" applyBorder="1" applyAlignment="1" applyProtection="1">
      <alignment horizontal="left" vertical="center" shrinkToFit="1"/>
      <protection hidden="1"/>
    </xf>
    <xf numFmtId="179" fontId="17" fillId="10" borderId="79" xfId="0" applyNumberFormat="1" applyFont="1" applyFill="1" applyBorder="1" applyAlignment="1" applyProtection="1">
      <alignment horizontal="left" vertical="center" shrinkToFit="1"/>
      <protection hidden="1"/>
    </xf>
    <xf numFmtId="179" fontId="5" fillId="10" borderId="79" xfId="0" applyNumberFormat="1" applyFont="1" applyFill="1" applyBorder="1" applyAlignment="1" applyProtection="1">
      <alignment horizontal="left" vertical="center" shrinkToFit="1"/>
      <protection hidden="1"/>
    </xf>
    <xf numFmtId="179" fontId="5" fillId="10" borderId="141" xfId="0" applyNumberFormat="1" applyFont="1" applyFill="1" applyBorder="1" applyAlignment="1" applyProtection="1">
      <alignment horizontal="left" vertical="center" shrinkToFit="1"/>
      <protection hidden="1" locked="0"/>
    </xf>
    <xf numFmtId="0" fontId="0" fillId="10" borderId="78" xfId="0" applyFill="1" applyBorder="1" applyAlignment="1">
      <alignment/>
    </xf>
    <xf numFmtId="179" fontId="5" fillId="10" borderId="0" xfId="0" applyNumberFormat="1" applyFont="1" applyFill="1" applyBorder="1" applyAlignment="1" applyProtection="1">
      <alignment horizontal="left" vertical="center" shrinkToFit="1"/>
      <protection hidden="1" locked="0"/>
    </xf>
    <xf numFmtId="179" fontId="14" fillId="10" borderId="94" xfId="0" applyNumberFormat="1" applyFont="1" applyFill="1" applyBorder="1" applyAlignment="1" applyProtection="1">
      <alignment horizontal="left" vertical="center" shrinkToFit="1"/>
      <protection locked="0"/>
    </xf>
    <xf numFmtId="177" fontId="2" fillId="13" borderId="191" xfId="0" applyNumberFormat="1" applyFont="1" applyFill="1" applyBorder="1" applyAlignment="1" applyProtection="1">
      <alignment horizontal="right" vertical="center" shrinkToFit="1"/>
      <protection hidden="1"/>
    </xf>
    <xf numFmtId="177" fontId="2" fillId="0" borderId="57" xfId="0" applyNumberFormat="1" applyFont="1" applyBorder="1" applyAlignment="1">
      <alignment horizontal="right" vertical="center" shrinkToFit="1"/>
    </xf>
    <xf numFmtId="177" fontId="2" fillId="0" borderId="192" xfId="0" applyNumberFormat="1" applyFont="1" applyBorder="1" applyAlignment="1">
      <alignment horizontal="right" vertical="center" shrinkToFit="1"/>
    </xf>
    <xf numFmtId="177" fontId="12" fillId="13" borderId="26" xfId="0" applyNumberFormat="1" applyFont="1" applyFill="1" applyBorder="1" applyAlignment="1" applyProtection="1">
      <alignment horizontal="right" vertical="center"/>
      <protection hidden="1"/>
    </xf>
    <xf numFmtId="177" fontId="0" fillId="0" borderId="25" xfId="0" applyNumberFormat="1" applyBorder="1" applyAlignment="1">
      <alignment horizontal="right" vertical="center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177" fontId="2" fillId="13" borderId="193" xfId="0" applyNumberFormat="1" applyFont="1" applyFill="1" applyBorder="1" applyAlignment="1" applyProtection="1">
      <alignment horizontal="right" vertical="center" shrinkToFit="1"/>
      <protection hidden="1"/>
    </xf>
    <xf numFmtId="177" fontId="2" fillId="0" borderId="194" xfId="0" applyNumberFormat="1" applyFont="1" applyBorder="1" applyAlignment="1">
      <alignment horizontal="right" vertical="center" shrinkToFit="1"/>
    </xf>
    <xf numFmtId="177" fontId="22" fillId="13" borderId="83" xfId="0" applyNumberFormat="1" applyFont="1" applyFill="1" applyBorder="1" applyAlignment="1" applyProtection="1">
      <alignment horizontal="right" vertical="center"/>
      <protection hidden="1"/>
    </xf>
    <xf numFmtId="0" fontId="0" fillId="0" borderId="195" xfId="0" applyBorder="1" applyAlignment="1">
      <alignment horizontal="right" vertical="center"/>
    </xf>
    <xf numFmtId="0" fontId="0" fillId="0" borderId="130" xfId="0" applyBorder="1" applyAlignment="1">
      <alignment horizontal="right" vertical="center"/>
    </xf>
    <xf numFmtId="0" fontId="0" fillId="0" borderId="196" xfId="0" applyBorder="1" applyAlignment="1">
      <alignment horizontal="right" vertical="center"/>
    </xf>
    <xf numFmtId="177" fontId="22" fillId="13" borderId="197" xfId="0" applyNumberFormat="1" applyFont="1" applyFill="1" applyBorder="1" applyAlignment="1" applyProtection="1">
      <alignment horizontal="right" vertical="center"/>
      <protection hidden="1"/>
    </xf>
    <xf numFmtId="177" fontId="22" fillId="13" borderId="195" xfId="0" applyNumberFormat="1" applyFont="1" applyFill="1" applyBorder="1" applyAlignment="1" applyProtection="1">
      <alignment horizontal="right" vertical="center"/>
      <protection hidden="1"/>
    </xf>
    <xf numFmtId="177" fontId="22" fillId="13" borderId="180" xfId="0" applyNumberFormat="1" applyFont="1" applyFill="1" applyBorder="1" applyAlignment="1" applyProtection="1">
      <alignment horizontal="right" vertical="center"/>
      <protection hidden="1"/>
    </xf>
    <xf numFmtId="177" fontId="22" fillId="13" borderId="196" xfId="0" applyNumberFormat="1" applyFont="1" applyFill="1" applyBorder="1" applyAlignment="1" applyProtection="1">
      <alignment horizontal="right" vertical="center"/>
      <protection hidden="1"/>
    </xf>
    <xf numFmtId="177" fontId="23" fillId="13" borderId="197" xfId="0" applyNumberFormat="1" applyFont="1" applyFill="1" applyBorder="1" applyAlignment="1" applyProtection="1">
      <alignment horizontal="right" vertical="center"/>
      <protection hidden="1"/>
    </xf>
    <xf numFmtId="177" fontId="23" fillId="13" borderId="82" xfId="0" applyNumberFormat="1" applyFont="1" applyFill="1" applyBorder="1" applyAlignment="1" applyProtection="1">
      <alignment horizontal="right" vertical="center"/>
      <protection hidden="1"/>
    </xf>
    <xf numFmtId="177" fontId="23" fillId="13" borderId="180" xfId="0" applyNumberFormat="1" applyFont="1" applyFill="1" applyBorder="1" applyAlignment="1" applyProtection="1">
      <alignment horizontal="right" vertical="center"/>
      <protection hidden="1"/>
    </xf>
    <xf numFmtId="177" fontId="23" fillId="13" borderId="138" xfId="0" applyNumberFormat="1" applyFont="1" applyFill="1" applyBorder="1" applyAlignment="1" applyProtection="1">
      <alignment horizontal="right" vertical="center"/>
      <protection hidden="1"/>
    </xf>
    <xf numFmtId="0" fontId="6" fillId="10" borderId="193" xfId="0" applyNumberFormat="1" applyFont="1" applyFill="1" applyBorder="1" applyAlignment="1" applyProtection="1">
      <alignment horizontal="left" vertical="center"/>
      <protection hidden="1"/>
    </xf>
    <xf numFmtId="0" fontId="0" fillId="0" borderId="57" xfId="0" applyBorder="1" applyAlignment="1">
      <alignment horizontal="left" vertical="center"/>
    </xf>
    <xf numFmtId="0" fontId="0" fillId="0" borderId="194" xfId="0" applyBorder="1" applyAlignment="1">
      <alignment horizontal="left" vertical="center"/>
    </xf>
    <xf numFmtId="0" fontId="6" fillId="6" borderId="191" xfId="0" applyNumberFormat="1" applyFont="1" applyFill="1" applyBorder="1" applyAlignment="1" applyProtection="1">
      <alignment horizontal="left" vertical="center"/>
      <protection hidden="1"/>
    </xf>
    <xf numFmtId="0" fontId="0" fillId="0" borderId="192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1">
    <dxf>
      <font>
        <b/>
        <i val="0"/>
        <color rgb="FFFFFF00"/>
      </font>
      <fill>
        <patternFill>
          <bgColor rgb="FFFF0000"/>
        </patternFill>
      </fill>
      <border/>
    </dxf>
    <dxf>
      <fill>
        <patternFill>
          <bgColor rgb="FF333333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00"/>
        </patternFill>
      </fill>
      <border/>
    </dxf>
    <dxf>
      <fill>
        <patternFill patternType="mediumGray"/>
      </fill>
      <border/>
    </dxf>
    <dxf>
      <fill>
        <patternFill>
          <bgColor rgb="FFFFFFFF"/>
        </patternFill>
      </fill>
      <border/>
    </dxf>
    <dxf>
      <fill>
        <patternFill>
          <bgColor rgb="FF808080"/>
        </patternFill>
      </fill>
      <border/>
    </dxf>
    <dxf>
      <fill>
        <patternFill>
          <bgColor rgb="FFFFCC00"/>
        </patternFill>
      </fill>
      <border/>
    </dxf>
    <dxf>
      <font>
        <b/>
        <i val="0"/>
        <color rgb="FFFFCC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</xdr:colOff>
      <xdr:row>12</xdr:row>
      <xdr:rowOff>28575</xdr:rowOff>
    </xdr:from>
    <xdr:to>
      <xdr:col>15</xdr:col>
      <xdr:colOff>571500</xdr:colOff>
      <xdr:row>12</xdr:row>
      <xdr:rowOff>209550</xdr:rowOff>
    </xdr:to>
    <xdr:pic>
      <xdr:nvPicPr>
        <xdr:cNvPr id="1" name="ECS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943850" y="2609850"/>
          <a:ext cx="1143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9</xdr:row>
      <xdr:rowOff>28575</xdr:rowOff>
    </xdr:from>
    <xdr:to>
      <xdr:col>15</xdr:col>
      <xdr:colOff>571500</xdr:colOff>
      <xdr:row>9</xdr:row>
      <xdr:rowOff>209550</xdr:rowOff>
    </xdr:to>
    <xdr:pic>
      <xdr:nvPicPr>
        <xdr:cNvPr id="2" name="ECS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943850" y="1866900"/>
          <a:ext cx="1143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15</xdr:row>
      <xdr:rowOff>28575</xdr:rowOff>
    </xdr:from>
    <xdr:to>
      <xdr:col>15</xdr:col>
      <xdr:colOff>571500</xdr:colOff>
      <xdr:row>15</xdr:row>
      <xdr:rowOff>209550</xdr:rowOff>
    </xdr:to>
    <xdr:pic>
      <xdr:nvPicPr>
        <xdr:cNvPr id="3" name="ECS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943850" y="3352800"/>
          <a:ext cx="1143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21</xdr:row>
      <xdr:rowOff>28575</xdr:rowOff>
    </xdr:from>
    <xdr:to>
      <xdr:col>15</xdr:col>
      <xdr:colOff>571500</xdr:colOff>
      <xdr:row>21</xdr:row>
      <xdr:rowOff>209550</xdr:rowOff>
    </xdr:to>
    <xdr:pic>
      <xdr:nvPicPr>
        <xdr:cNvPr id="4" name="ComboBox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943850" y="4838700"/>
          <a:ext cx="1143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24</xdr:row>
      <xdr:rowOff>28575</xdr:rowOff>
    </xdr:from>
    <xdr:to>
      <xdr:col>15</xdr:col>
      <xdr:colOff>571500</xdr:colOff>
      <xdr:row>24</xdr:row>
      <xdr:rowOff>209550</xdr:rowOff>
    </xdr:to>
    <xdr:pic>
      <xdr:nvPicPr>
        <xdr:cNvPr id="5" name="ComboBox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943850" y="5581650"/>
          <a:ext cx="1143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27</xdr:row>
      <xdr:rowOff>28575</xdr:rowOff>
    </xdr:from>
    <xdr:to>
      <xdr:col>15</xdr:col>
      <xdr:colOff>581025</xdr:colOff>
      <xdr:row>27</xdr:row>
      <xdr:rowOff>209550</xdr:rowOff>
    </xdr:to>
    <xdr:pic>
      <xdr:nvPicPr>
        <xdr:cNvPr id="6" name="Combo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953375" y="6324600"/>
          <a:ext cx="1143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86"/>
  <sheetViews>
    <sheetView showGridLines="0" showZeros="0" tabSelected="1" zoomScale="85" zoomScaleNormal="85" workbookViewId="0" topLeftCell="A1">
      <selection activeCell="B79" sqref="B79"/>
    </sheetView>
  </sheetViews>
  <sheetFormatPr defaultColWidth="9.140625" defaultRowHeight="12.75"/>
  <cols>
    <col min="1" max="2" width="2.7109375" style="0" customWidth="1"/>
    <col min="3" max="3" width="14.7109375" style="0" customWidth="1"/>
    <col min="4" max="9" width="8.7109375" style="0" customWidth="1"/>
    <col min="10" max="10" width="9.57421875" style="0" bestFit="1" customWidth="1"/>
    <col min="20" max="21" width="2.7109375" style="0" customWidth="1"/>
  </cols>
  <sheetData>
    <row r="1" spans="1:21" ht="9.75" customHeight="1" thickBot="1">
      <c r="A1" s="202" t="s">
        <v>79</v>
      </c>
      <c r="B1" s="77"/>
      <c r="C1" s="77"/>
      <c r="D1" s="77"/>
      <c r="E1" s="77"/>
      <c r="F1" s="77"/>
      <c r="G1" s="77"/>
      <c r="H1" s="77"/>
      <c r="I1" s="80"/>
      <c r="J1" s="77" t="s">
        <v>0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81"/>
    </row>
    <row r="2" spans="1:21" ht="19.5" customHeight="1" thickBot="1" thickTop="1">
      <c r="A2" s="78"/>
      <c r="B2" s="80"/>
      <c r="C2" s="156">
        <v>2</v>
      </c>
      <c r="D2" s="87"/>
      <c r="E2" s="88"/>
      <c r="F2" s="163">
        <v>1</v>
      </c>
      <c r="G2" s="164">
        <f>IF($H$2,IF(F2=2,CHOOSE(R2,0.33,0.3909,0.464,0.5214),IF(F2=3,CHOOSE(R2,0.58,0.6182,0.664,0.7),0)),"$")</f>
        <v>0</v>
      </c>
      <c r="H2" s="201" t="b">
        <v>1</v>
      </c>
      <c r="I2" s="258" t="b">
        <f>NOT(AND($H$2,$I$6="",$I$7="",$H$6="",$H$7="",$G$6=""))</f>
        <v>0</v>
      </c>
      <c r="J2" s="401">
        <f>SUM($L$33:$L$77)</f>
        <v>10</v>
      </c>
      <c r="K2" s="402"/>
      <c r="L2" s="80"/>
      <c r="M2" s="136"/>
      <c r="N2" s="137"/>
      <c r="O2" s="137"/>
      <c r="P2" s="137"/>
      <c r="Q2" s="137"/>
      <c r="R2" s="138">
        <v>1</v>
      </c>
      <c r="S2" s="183">
        <f>CHOOSE($R2+1,0,1,1.1,1.25,1.4)</f>
        <v>1</v>
      </c>
      <c r="T2" s="80"/>
      <c r="U2" s="81"/>
    </row>
    <row r="3" spans="1:21" ht="9.75" customHeight="1" thickTop="1">
      <c r="A3" s="78"/>
      <c r="B3" s="80"/>
      <c r="C3" s="80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80"/>
      <c r="Q3" s="80"/>
      <c r="R3" s="80"/>
      <c r="S3" s="80"/>
      <c r="T3" s="80"/>
      <c r="U3" s="81"/>
    </row>
    <row r="4" spans="1:21" ht="13.5" customHeight="1" thickBot="1">
      <c r="A4" s="78"/>
      <c r="B4" s="210">
        <v>2</v>
      </c>
      <c r="C4" s="211">
        <v>1</v>
      </c>
      <c r="D4" s="211">
        <v>1</v>
      </c>
      <c r="E4" s="211">
        <v>2</v>
      </c>
      <c r="F4" s="211">
        <v>3</v>
      </c>
      <c r="G4" s="211">
        <v>4</v>
      </c>
      <c r="H4" s="211">
        <v>5</v>
      </c>
      <c r="I4" s="211">
        <v>6</v>
      </c>
      <c r="J4" s="211">
        <v>7</v>
      </c>
      <c r="K4" s="211">
        <v>8</v>
      </c>
      <c r="L4" s="210">
        <v>9</v>
      </c>
      <c r="M4" s="211">
        <v>10</v>
      </c>
      <c r="N4" s="211">
        <v>11</v>
      </c>
      <c r="O4" s="211">
        <v>12</v>
      </c>
      <c r="P4" s="211"/>
      <c r="Q4" s="211"/>
      <c r="R4" s="211"/>
      <c r="S4" s="211"/>
      <c r="T4" s="210"/>
      <c r="U4" s="81"/>
    </row>
    <row r="5" spans="1:21" ht="14.25" thickBot="1" thickTop="1">
      <c r="A5" s="78"/>
      <c r="B5" s="248">
        <f>COUNTIF($B$6:$B$27,"&gt;0")</f>
        <v>1</v>
      </c>
      <c r="C5" s="26" t="s">
        <v>1</v>
      </c>
      <c r="D5" s="341" t="s">
        <v>58</v>
      </c>
      <c r="E5" s="342"/>
      <c r="F5" s="241" t="s">
        <v>59</v>
      </c>
      <c r="G5" s="242" t="s">
        <v>94</v>
      </c>
      <c r="H5" s="241" t="s">
        <v>14</v>
      </c>
      <c r="I5" s="357" t="s">
        <v>57</v>
      </c>
      <c r="J5" s="65" t="s">
        <v>3</v>
      </c>
      <c r="K5" s="237" t="s">
        <v>29</v>
      </c>
      <c r="L5" s="27"/>
      <c r="M5" s="27"/>
      <c r="N5" s="28"/>
      <c r="O5" s="237" t="s">
        <v>41</v>
      </c>
      <c r="P5" s="27"/>
      <c r="Q5" s="27"/>
      <c r="R5" s="27"/>
      <c r="S5" s="28"/>
      <c r="T5" s="117"/>
      <c r="U5" s="374"/>
    </row>
    <row r="6" spans="1:21" ht="19.5" customHeight="1" thickTop="1">
      <c r="A6" s="78"/>
      <c r="B6" s="248">
        <f>IF(OR($D6=xMCU30,$D6=xMCU60,$D6=xMCU100),xISmcu,IF(OR($D6=xGW320,$D6=xGW324),xISgw,IF(OR($D6=xVPSrm,$D6=xVPSsym),xISvps,IF(OR($D6=xASNTpro,$D6=xASNTsvr),xISas,IF($D6=xMVP,xISmvp,IF($D6=xVPS10m,xISvpm,0))))))</f>
        <v>1</v>
      </c>
      <c r="C6" s="418">
        <v>1</v>
      </c>
      <c r="D6" s="233">
        <v>3</v>
      </c>
      <c r="E6" s="124"/>
      <c r="F6" s="243">
        <f>IF(D8=0,$D6,0)</f>
        <v>3</v>
      </c>
      <c r="G6" s="347">
        <f>IF(OR(VID2ERR,VID3ERR,VID4ERR,VID6ERR,VID7ERR,VID8ERR),"!VID!","")</f>
      </c>
      <c r="H6" s="347">
        <f>IF(OR(ISERROR(GWLIST),ISERROR(G3LIST)),"!GW!","")</f>
      </c>
      <c r="I6" s="135">
        <f>IF(ISERROR(MCULIST),"!MCU!","")</f>
      </c>
      <c r="J6" s="404">
        <f>IF(F6=xNONE,0,CHOOSE(F6,zMCU30,zMCU60,zMCU100,zGW320,zGW324,0,zVPS,zVPS10m,zMVP,zASNTpro,zASNTsvr,xVPS)+TX1LIST+FLOOR(BASELIST/$B$5,1))</f>
        <v>10</v>
      </c>
      <c r="K6" s="139">
        <v>1</v>
      </c>
      <c r="L6" s="125"/>
      <c r="M6" s="125">
        <f>IF($D6&lt;&gt;xGW324,0,1+IF(xGWT1E1=2,1,0)+IF(TX1TYPE=xATM20,2,0))</f>
        <v>0</v>
      </c>
      <c r="N6" s="315">
        <f>IF($D6&lt;&gt;xGW320,0,1+IF(xGWT1E1=2,1,0)+IF(TX1TYPE=xATM20,2,0))</f>
        <v>0</v>
      </c>
      <c r="O6" s="139">
        <v>1</v>
      </c>
      <c r="P6" s="223">
        <f>IF($B$6=xISmcu,S1LIST,0)+IF($B$9=xISmcu,S2LIST,0)+IF($B$12=xISmcu,S3LIST,0)+IF($B$15=xISmcu,S4LIST,0)+IF($B$18=xISmcu,S5LIST,0)+IF($B$21=xISmcu,S6LIST,0)+IF($B$24=xISmcu,S7LIST,0)+IF($B$27=xISmcu,S8LIST,0)</f>
        <v>10</v>
      </c>
      <c r="Q6" s="126">
        <f>IF($B$6=xISmcu,1,0)+IF($B$9=xISmcu,1,0)+IF($B$12=xISmcu,1,0)+IF($B$15=xISmcu,1,0)+IF($B$18=xISmcu,1,0)+IF($B$21=xISmcu,1,0)+IF($B$24=xISmcu,1,0)+IF($B$27=xISmcu,1,0)</f>
        <v>1</v>
      </c>
      <c r="S6" s="321"/>
      <c r="T6" s="210">
        <v>1</v>
      </c>
      <c r="U6" s="374">
        <v>1</v>
      </c>
    </row>
    <row r="7" spans="1:21" ht="19.5" customHeight="1">
      <c r="A7" s="78"/>
      <c r="B7" s="248"/>
      <c r="C7" s="419"/>
      <c r="D7" s="234"/>
      <c r="E7" s="231"/>
      <c r="F7" s="244"/>
      <c r="G7" s="387"/>
      <c r="H7" s="348">
        <f>IF(OR(APP1ERR,APP2ERR,APP3ERR,APP4ERR,APP5ERR,APP6ERR,APP7ERR,APP8ERR),"!APP!","")</f>
      </c>
      <c r="I7" s="232">
        <f>IF(OR(TX1ERR,TX2ERR,TX3ERR,TX4ERR,TX5ERR,TX6ERR,TX7ERR,TX8ERR),"!TX!","")</f>
      </c>
      <c r="J7" s="399"/>
      <c r="K7" s="129"/>
      <c r="L7" s="313"/>
      <c r="M7" s="333"/>
      <c r="N7" s="334"/>
      <c r="O7" s="335">
        <f>IF($D$6=xGW324,1,0)+IF($D$9=xGW324,1,0)+IF($D$12=xGW324,1,0)+IF($D$15=xGW324,1,0)+IF($D$18=xGW324,1,0)+IF($D$21=xGW324,1,0)+IF($D$24=xGW324,1,0)+IF($D$27=xGW324,1,0)</f>
        <v>0</v>
      </c>
      <c r="P7" s="129">
        <v>0</v>
      </c>
      <c r="Q7" s="129">
        <f>IF($B$6=xISgw,1,0)+IF($B$9=xISgw,1,0)+IF($B$12=xISgw,1,0)+IF($B$15=xISgw,1,0)+IF($B$18=xISgw,1,0)+IF($B$21=xISgw,1,0)+IF($B$24=xISgw,1,0)+IF($B$27=xISgw,1,0)</f>
        <v>0</v>
      </c>
      <c r="R7" s="322" t="b">
        <v>0</v>
      </c>
      <c r="S7" s="323" t="b">
        <v>0</v>
      </c>
      <c r="T7" s="210">
        <v>2</v>
      </c>
      <c r="U7" s="374">
        <v>2</v>
      </c>
    </row>
    <row r="8" spans="1:21" ht="19.5" customHeight="1" thickBot="1">
      <c r="A8" s="78"/>
      <c r="B8" s="248"/>
      <c r="C8" s="420"/>
      <c r="D8" s="238">
        <f>IF(OR(TX1ERR,APP1ERR),1,0)</f>
        <v>0</v>
      </c>
      <c r="E8" s="127"/>
      <c r="F8" s="245" t="b">
        <f>OR(AND(ProdType=xIPVC,OR($O$8&gt;1)),AND(ProdType&lt;&gt;xIPVC,OR($R$7,$S$7)))</f>
        <v>0</v>
      </c>
      <c r="G8" s="382">
        <v>2</v>
      </c>
      <c r="H8" s="349" t="b">
        <v>0</v>
      </c>
      <c r="I8" s="254">
        <f>ChassisCount*(zCHASSIS+IF($H$8,zPOWER,0))</f>
        <v>5</v>
      </c>
      <c r="J8" s="405"/>
      <c r="K8" s="324">
        <f>IF(TX1TYPE=xATM15,pATM15,IF(TX1TYPE=xATM30,pATM30,IF(TX1TYPE=xATM20,pATM20,0)))</f>
        <v>0</v>
      </c>
      <c r="L8" s="325" t="b">
        <f>IF(TX1TYPE=xATM0,FALSE,IF(OR(AND(TX1TYPE=xATM20,$D6&lt;&gt;xGW320),AND(TX1TYPE=xATM15,$D6&lt;&gt;xMCU30,$D6&lt;&gt;xMCU60,$D6&lt;&gt;xMCU100),AND(TX1TYPE=xATM30,$D6&lt;&gt;xMCU30,$D6&lt;&gt;xMCU60)),TRUE,FALSE))</f>
        <v>0</v>
      </c>
      <c r="M8" s="325">
        <f>IF(TX1TYPE=xATM15,vATM15,IF(TX1TYPE=xATM30,vATM30,IF(TX1TYPE=xATM20,IF(xGWT1E1=2,vE1,vT1),0)))</f>
        <v>0</v>
      </c>
      <c r="N8" s="326">
        <f>IF(TX1TYPE=xATM15,zATM15,IF(TX1TYPE=xATM30,zATM30,IF(TX1TYPE=xATM20,zATM20,0)))</f>
        <v>0</v>
      </c>
      <c r="O8" s="255">
        <v>0</v>
      </c>
      <c r="P8" s="256"/>
      <c r="Q8" s="128">
        <f>IF($D$6=xGW320,S1LIST,0)+IF($D$9=xGW320,S2LIST,0)+IF($D$12=xGW320,S3LIST,0)+IF($D$15=xGW320,S4LIST,0)+IF($D$18=xGW320,S5LIST,0)+IF($D$21=xGW320,S6LIST,0)+IF($D$24=xGW320,S7LIST,0)+IF($D$27=xGW320,S8LIST,0)</f>
        <v>0</v>
      </c>
      <c r="R8" s="128">
        <f>IF($D$6=xGW324,S1LIST,0)+IF($D$9=xGW324,S2LIST,0)+IF($D$12=xGW324,S3LIST,0)+IF($D$15=xGW324,S4LIST,0)+IF($D$18=xGW324,S5LIST,0)+IF($D$21=xGW324,S6LIST,0)+IF($D$24=xGW324,S7LIST,0)+IF($D$27=xGW324,S8LIST,0)</f>
        <v>0</v>
      </c>
      <c r="S8" s="318"/>
      <c r="T8" s="210">
        <v>3</v>
      </c>
      <c r="U8" s="374">
        <v>3</v>
      </c>
    </row>
    <row r="9" spans="1:21" ht="19.5" customHeight="1">
      <c r="A9" s="78"/>
      <c r="B9" s="248">
        <f>IF(OR($D9=xMCU30,$D9=xMCU60,$D9=xMCU100),xISmcu,IF(OR($D9=xGW320,$D9=xGW324),xISgw,IF(OR($D9=xVPSrm,$D9=xVPSsym),xISvps,IF(OR($D9=xASNTpro,$D9=xASNTsvr),xISas,IF($D9=xMVP,xISmvp,IF($D9=xVPS10m,xISvpm,0))))))</f>
        <v>0</v>
      </c>
      <c r="C9" s="421">
        <v>2</v>
      </c>
      <c r="D9" s="235">
        <v>6</v>
      </c>
      <c r="E9" s="130"/>
      <c r="F9" s="246">
        <f>IF(D11=0,$D9,0)</f>
        <v>6</v>
      </c>
      <c r="G9" s="343"/>
      <c r="H9" s="350">
        <f>IF(OR($B$9&lt;&gt;xISas,$O10&lt;=NOECS),0,S2LIST)+IF(OR($B$12&lt;&gt;xISas,$O13&lt;=NOECS),0,S3LIST)+IF(OR($B$15&lt;&gt;xISas,$O16&lt;=NOECS),0,S4LIST)+IF(OR($B$21&lt;&gt;xISas,$O22&lt;=NOECS),0,S6LIST)+IF(OR($B$24&lt;&gt;xISas,$O25&lt;=NOECS),0,S7LIST)+IF(OR($B$27&lt;&gt;xISas,$O28&lt;=NOECS),0,S8LIST)</f>
        <v>0</v>
      </c>
      <c r="I9" s="351"/>
      <c r="J9" s="398">
        <f>IF(F9=xNONE,0,CHOOSE(F9,zMCU30,zMCU60,zMCU100,zGW320,zGW324,0,zVPS,zVPS10m,zMVP,zASNTpro,zASNTsvr,zVPS)+TX2LIST+CHOOSE($O9,0,$J$51,$J$52,$J$53,$J$54)+GK2LIST+CHOOSE($O11,0,$J$72,$J$74,$J$74)+FLOOR(BASELIST/$B$5,1))</f>
        <v>0</v>
      </c>
      <c r="K9" s="140">
        <v>1</v>
      </c>
      <c r="L9" s="131"/>
      <c r="M9" s="131">
        <f>IF($D9&lt;&gt;xGW324,0,1+IF(xGWT1E1=2,1,0)+IF(TX2TYPE=xATM20,2,0))</f>
        <v>0</v>
      </c>
      <c r="N9" s="132">
        <f>IF($D9&lt;&gt;xGW320,0,1+IF(xGWT1E1=2,1,0)+IF(TX2TYPE=xATM20,2,0))</f>
        <v>0</v>
      </c>
      <c r="O9" s="140">
        <v>1</v>
      </c>
      <c r="P9" s="131"/>
      <c r="Q9" s="131"/>
      <c r="R9" s="316"/>
      <c r="S9" s="320"/>
      <c r="T9" s="210">
        <v>4</v>
      </c>
      <c r="U9" s="374">
        <v>4</v>
      </c>
    </row>
    <row r="10" spans="1:21" ht="19.5" customHeight="1">
      <c r="A10" s="78"/>
      <c r="B10" s="248"/>
      <c r="C10" s="419"/>
      <c r="D10" s="234"/>
      <c r="E10" s="231"/>
      <c r="F10" s="244"/>
      <c r="G10" s="344"/>
      <c r="H10" s="352">
        <f>IF(OR($B$9&lt;&gt;xISas,$O$9&lt;=1),0,S2LIST)+IF(OR($B$12&lt;&gt;xISas,$O$12&lt;=1),0,S3LIST)+IF(OR($B$15&lt;&gt;xISas,$O$15&lt;=1),0,S4LIST)+IF(OR($B$21&lt;&gt;xISas,$O$21&lt;=1),0,S6LIST)+IF(OR($B$24&lt;&gt;xISas,$O$24&lt;=1),0,S7LIST)+IF(OR($B$27&lt;&gt;xISas,$O$27&lt;=1),0,S8LIST)</f>
        <v>0</v>
      </c>
      <c r="I10" s="353" t="b">
        <f>OR(GK2ERR,IF($B$9=xISas,OR(AND($D$9&lt;&gt;xASNTsvr,$O$11&gt;2),AND(ProdType=xIPVC,$O$11&gt;1)),OR($O$9&gt;1,$O$11&gt;1)))</f>
        <v>0</v>
      </c>
      <c r="J10" s="399"/>
      <c r="K10" s="316"/>
      <c r="L10" s="316"/>
      <c r="M10" s="129"/>
      <c r="N10" s="317"/>
      <c r="O10" s="330">
        <v>1</v>
      </c>
      <c r="P10" s="313">
        <f>INDEX($J$55:$J$69,$O10,1)+(IF($R10,$J$70,0)*INDEX($F$55:$F$69,$O10,1))+IF($Q10,$J$71,0)+IF(GK2ERR," ",0)</f>
        <v>5</v>
      </c>
      <c r="Q10" s="331" t="b">
        <v>0</v>
      </c>
      <c r="R10" s="129" t="b">
        <f>AND($O10&lt;ECSMASTER,$T10)</f>
        <v>0</v>
      </c>
      <c r="S10" s="314" t="b">
        <f>OR(AND($O10&lt;=NOECS,OR($R10,$Q10)),AND(OR(ProdType=xIPVC,$B9&lt;&gt;4),OR($O10&gt;NOECS,$R10,$Q10)))</f>
        <v>0</v>
      </c>
      <c r="T10" s="332" t="b">
        <v>0</v>
      </c>
      <c r="U10" s="374">
        <v>5</v>
      </c>
    </row>
    <row r="11" spans="1:21" ht="19.5" customHeight="1" thickBot="1">
      <c r="A11" s="78"/>
      <c r="B11" s="248"/>
      <c r="C11" s="420"/>
      <c r="D11" s="238">
        <f>IF(OR(TX2ERR,APP2ERR,VID2ERR,AND($D$6=xNONE,$D$9&lt;&gt;xNONE),AND(MCUnum+GWnum=0,OR(O9&gt;1,$O10&gt;NOECS,O11&gt;1))),1,0)</f>
        <v>0</v>
      </c>
      <c r="E11" s="127"/>
      <c r="F11" s="245"/>
      <c r="G11" s="345"/>
      <c r="H11" s="354"/>
      <c r="I11" s="355" t="b">
        <f>OR(AND($B$9=xISvps,(CountRM+CountSYM)&gt;MCUnum),AND($B$9=xISvpm,Count10M&gt;(G324num*2)))</f>
        <v>0</v>
      </c>
      <c r="J11" s="405"/>
      <c r="K11" s="324">
        <f>IF(TX2TYPE=xATM15,pATM15,IF(TX2TYPE=xATM30,pATM30,IF(TX2TYPE=xATM20,pATM20,0)))</f>
        <v>0</v>
      </c>
      <c r="L11" s="325" t="b">
        <f>IF(TX2TYPE=xATM0,FALSE,IF(OR(AND(TX2TYPE=xATM20,$D9&lt;&gt;xGW320),AND(TX2TYPE=xATM15,$D9&lt;&gt;xMCU30,$D9&lt;&gt;xMCU60,$D9&lt;&gt;xMCU100),AND(TX2TYPE=xATM30,$D9&lt;&gt;xMCU30,$D9&lt;&gt;xMCU60)),TRUE,FALSE))</f>
        <v>0</v>
      </c>
      <c r="M11" s="325">
        <f>IF(TX2TYPE=xATM15,vATM15,IF(TX2TYPE=xATM30,vATM30,IF(TX2TYPE=xATM20,IF(xGWT1E1=2,vE1,vT1),0)))</f>
        <v>0</v>
      </c>
      <c r="N11" s="326">
        <f>IF(TX2TYPE=xATM15,zATM15,IF(TX2TYPE=xATM30,zATM30,IF(TX2TYPE=xATM20,zATM20,0)))</f>
        <v>0</v>
      </c>
      <c r="O11" s="249">
        <v>1</v>
      </c>
      <c r="P11" s="128"/>
      <c r="Q11" s="128"/>
      <c r="R11" s="128"/>
      <c r="S11" s="319"/>
      <c r="T11" s="210"/>
      <c r="U11" s="374">
        <v>6</v>
      </c>
    </row>
    <row r="12" spans="1:21" ht="19.5" customHeight="1">
      <c r="A12" s="78"/>
      <c r="B12" s="248">
        <f>IF(OR($D12=xMCU30,$D12=xMCU60,$D12=xMCU100),xISmcu,IF(OR($D12=xGW320,$D12=xGW324),xISgw,IF(OR($D12=xVPSrm,$D12=xVPSsym),xISvps,IF(OR($D12=xASNTpro,$D12=xASNTsvr),xISas,IF($D12=xMVP,xISmvp,IF($D12=xVPS10m,xISvpm,0))))))</f>
        <v>0</v>
      </c>
      <c r="C12" s="421">
        <v>3</v>
      </c>
      <c r="D12" s="235">
        <v>6</v>
      </c>
      <c r="E12" s="130"/>
      <c r="F12" s="246">
        <f>IF(D14=0,$D12,0)</f>
        <v>6</v>
      </c>
      <c r="G12" s="343"/>
      <c r="H12" s="383">
        <f>IF($D$9&lt;&gt;xVPSrm,0,S2LIST)+IF($D$12&lt;&gt;xVPSrm,0,S3LIST)+IF($D$15&lt;&gt;xVPSrm,0,S4LIST)+IF($D$21&lt;&gt;xVPSrm,0,S6LIST)+IF($D$24&lt;&gt;xVPSrm,0,S7LIST)+IF($D$27&lt;&gt;xVPSrm,0,S8LIST)</f>
        <v>0</v>
      </c>
      <c r="I12" s="351"/>
      <c r="J12" s="398">
        <f>IF(F12=xNONE,0,CHOOSE(F12,zMCU30,zMCU60,zMCU100,zGW320,zGW324,0,zVPS,zVPS10m,zMVP,zASNTpro,zASNTsvr,zVPS)+TX3LIST+CHOOSE($O12,0,$J$51,$J$52,$J$53,$J$54)+GK3LIST+CHOOSE($O14,0,$J$72,$J$74,$J$74)+FLOOR(BASELIST/$B$5,1))</f>
        <v>0</v>
      </c>
      <c r="K12" s="140">
        <v>1</v>
      </c>
      <c r="L12" s="131"/>
      <c r="M12" s="131">
        <f>IF($D12&lt;&gt;xGW324,0,1+IF(xGWT1E1=2,1,0)+IF(TX3TYPE=xATM20,2,0))</f>
        <v>0</v>
      </c>
      <c r="N12" s="132">
        <f>IF($D12&lt;&gt;xGW320,0,1+IF(xGWT1E1=2,1,0)+IF(TX3TYPE=xATM20,2,0))</f>
        <v>0</v>
      </c>
      <c r="O12" s="140">
        <v>1</v>
      </c>
      <c r="P12" s="131"/>
      <c r="Q12" s="131"/>
      <c r="R12" s="316"/>
      <c r="S12" s="320"/>
      <c r="T12" s="210"/>
      <c r="U12" s="81"/>
    </row>
    <row r="13" spans="1:21" ht="19.5" customHeight="1">
      <c r="A13" s="78"/>
      <c r="B13" s="248"/>
      <c r="C13" s="419"/>
      <c r="D13" s="234"/>
      <c r="E13" s="231"/>
      <c r="F13" s="244"/>
      <c r="G13" s="344"/>
      <c r="H13" s="384">
        <f>IF($D$9&lt;&gt;xVPSsym,0,S2LIST)+IF($D$12&lt;&gt;xVPSsym,0,S3LIST)+IF($D$15&lt;&gt;xVPSsym,0,S4LIST)+IF($D$21&lt;&gt;xVPSsym,0,S6LIST)+IF($D$24&lt;&gt;xVPSsym,0,S7LIST)+IF($D$27&lt;&gt;xVPSsym,0,S8LIST)</f>
        <v>0</v>
      </c>
      <c r="I13" s="353" t="b">
        <f>OR(GK3ERR,IF($B$12=xISas,OR(AND($D$12&lt;&gt;xASNTsvr,$O$14&gt;2),AND(ProdType=xIPVC,$O$14&gt;1)),OR($O$12&gt;1,$O$14&gt;1)))</f>
        <v>0</v>
      </c>
      <c r="J13" s="399"/>
      <c r="K13" s="316"/>
      <c r="L13" s="316"/>
      <c r="M13" s="129"/>
      <c r="N13" s="317"/>
      <c r="O13" s="330">
        <v>1</v>
      </c>
      <c r="P13" s="313">
        <f>INDEX($J$55:$J$69,$O13,1)+(IF($R13,$J$70,0)*INDEX($F$55:$F$69,$O13,1))+IF($Q13,$J$71,0)+IF(GK3ERR," ",0)</f>
        <v>5</v>
      </c>
      <c r="Q13" s="331" t="b">
        <v>0</v>
      </c>
      <c r="R13" s="129" t="b">
        <f>AND($O13&lt;ECSMASTER,$T13)</f>
        <v>0</v>
      </c>
      <c r="S13" s="314" t="b">
        <f>OR(AND($O13&lt;=NOECS,OR($R13,$Q13)),AND(OR(ProdType=xIPVC,$B12&lt;&gt;4),OR($O13&gt;NOECS,$R13,$Q13)))</f>
        <v>0</v>
      </c>
      <c r="T13" s="332" t="b">
        <v>0</v>
      </c>
      <c r="U13" s="81"/>
    </row>
    <row r="14" spans="1:21" ht="19.5" customHeight="1" thickBot="1">
      <c r="A14" s="78"/>
      <c r="B14" s="248"/>
      <c r="C14" s="420"/>
      <c r="D14" s="238">
        <f>IF(OR(TX3ERR,APP3ERR,VID3ERR,AND($D$6=xNONE,$D$12&lt;&gt;xNONE),AND(MCUnum+GWnum=0,OR(O12&gt;1,$O13&gt;NOECS,O14&gt;1))),1,0)</f>
        <v>0</v>
      </c>
      <c r="E14" s="127"/>
      <c r="F14" s="245"/>
      <c r="G14" s="345"/>
      <c r="H14" s="385">
        <f>IF($D$9&lt;&gt;xVPS10m,0,S2LIST)+IF($D$12&lt;&gt;xVPS10m,0,S3LIST)+IF($D$15&lt;&gt;xVPS10m,0,S4LIST)+IF($D$21&lt;&gt;xVPS10m,0,S6LIST)+IF($D$24&lt;&gt;xVPS10m,0,S7LIST)+IF($D$27&lt;&gt;xVPS10m,0,S8LIST)</f>
        <v>0</v>
      </c>
      <c r="I14" s="355" t="b">
        <f>OR(AND($B$12=xISvps,(CountRM+CountSYM)&gt;MCUnum),AND($B$12=xISvpm,Count10M&gt;(G324num*2)))</f>
        <v>0</v>
      </c>
      <c r="J14" s="405"/>
      <c r="K14" s="324">
        <f>IF(TX3TYPE=xATM15,pATM15,IF(TX3TYPE=xATM30,pATM30,IF(TX3TYPE=xATM20,pATM20,0)))</f>
        <v>0</v>
      </c>
      <c r="L14" s="325" t="b">
        <f>IF(TX3TYPE=xATM0,FALSE,IF(OR(AND(TX3TYPE=xATM20,$D12&lt;&gt;xGW320),AND(TX3TYPE=xATM15,$D12&lt;&gt;xMCU30,$D12&lt;&gt;xMCU60,$D12&lt;&gt;xMCU100),AND(TX3TYPE=xATM30,$D12&lt;&gt;xMCU30,$D12&lt;&gt;xMCU60)),TRUE,FALSE))</f>
        <v>0</v>
      </c>
      <c r="M14" s="325">
        <f>IF(TX3TYPE=xATM15,vATM15,IF(TX3TYPE=xATM30,vATM30,IF(TX3TYPE=xATM20,IF(xGWT1E1=2,vE1,vT1),0)))</f>
        <v>0</v>
      </c>
      <c r="N14" s="326">
        <f>IF(TX3TYPE=xATM15,zATM15,IF(TX3TYPE=xATM30,zATM30,IF(TX3TYPE=xATM20,zATM20,0)))</f>
        <v>0</v>
      </c>
      <c r="O14" s="249">
        <v>1</v>
      </c>
      <c r="P14" s="128"/>
      <c r="Q14" s="128"/>
      <c r="R14" s="128"/>
      <c r="S14" s="319"/>
      <c r="T14" s="210"/>
      <c r="U14" s="81"/>
    </row>
    <row r="15" spans="1:21" ht="19.5" customHeight="1">
      <c r="A15" s="78"/>
      <c r="B15" s="248">
        <f>IF(OR($D15=xMCU30,$D15=xMCU60,$D15=xMCU100),xISmcu,IF(OR($D15=xGW320,$D15=xGW324),xISgw,IF(OR($D15=xVPSrm,$D15=xVPSsym),xISvps,IF(OR($D15=xASNTpro,$D15=xASNTsvr),xISas,IF($D15=xMVP,xISmvp,IF($D15=xVPS10m,xISvpm,0))))))</f>
        <v>0</v>
      </c>
      <c r="C15" s="421">
        <v>4</v>
      </c>
      <c r="D15" s="235">
        <v>6</v>
      </c>
      <c r="E15" s="130"/>
      <c r="F15" s="246">
        <f>IF(D17=0,$D15,0)</f>
        <v>6</v>
      </c>
      <c r="G15" s="343"/>
      <c r="H15" s="383">
        <f>IF($D$9&lt;&gt;xVPSrm,0,1)+IF($D$12&lt;&gt;xVPSrm,0,1)+IF($D$15&lt;&gt;xVPSrm,0,1)+IF($D$21&lt;&gt;xVPSrm,0,1)+IF($D$24&lt;&gt;xVPSrm,0,1)+IF($D$27&lt;&gt;xVPSrm,0,1)</f>
        <v>0</v>
      </c>
      <c r="I15" s="351"/>
      <c r="J15" s="398">
        <f>IF(F15=xNONE,0,CHOOSE(F15,zMCU30,zMCU60,zMCU100,zGW320,zGW324,0,zVPS,zVPS10m,zMVP,zASNTpro,zASNTsvr,zVPS)+TX4LIST+CHOOSE($O15,0,$J$51,$J$52,$J$53,$J$54)+GK4LIST+CHOOSE($O17,0,$J$72,$J$74,$J$74)+FLOOR(BASELIST/$B$5,1))</f>
        <v>0</v>
      </c>
      <c r="K15" s="140">
        <v>1</v>
      </c>
      <c r="L15" s="131"/>
      <c r="M15" s="131">
        <f>IF($D15&lt;&gt;xGW324,0,1+IF(xGWT1E1=2,1,0)+IF(TX4TYPE=xATM20,2,0))</f>
        <v>0</v>
      </c>
      <c r="N15" s="132">
        <f>IF($D15&lt;&gt;xGW320,0,1+IF(xGWT1E1=2,1,0)+IF(TX4TYPE=xATM20,2,0))</f>
        <v>0</v>
      </c>
      <c r="O15" s="140">
        <v>1</v>
      </c>
      <c r="P15" s="131"/>
      <c r="Q15" s="131"/>
      <c r="R15" s="316"/>
      <c r="S15" s="320"/>
      <c r="T15" s="210"/>
      <c r="U15" s="81"/>
    </row>
    <row r="16" spans="1:21" ht="19.5" customHeight="1">
      <c r="A16" s="78"/>
      <c r="B16" s="248"/>
      <c r="C16" s="419"/>
      <c r="D16" s="234"/>
      <c r="E16" s="231"/>
      <c r="F16" s="244"/>
      <c r="G16" s="344"/>
      <c r="H16" s="384">
        <f>IF($D$9&lt;&gt;xVPSsym,0,1)+IF($D$12&lt;&gt;xVPSsym,0,1)+IF($D$15&lt;&gt;xVPSsym,0,1)+IF($D$21&lt;&gt;xVPSsym,0,1)+IF($D$24&lt;&gt;xVPSsym,0,1)+IF($D$27&lt;&gt;xVPSsym,0,1)</f>
        <v>0</v>
      </c>
      <c r="I16" s="353" t="b">
        <f>OR(GK4ERR,IF($B$15=xISas,OR(AND($D$15&lt;&gt;xASNTsvr,$O$17&gt;2),AND(ProdType=xIPVC,$O$17&gt;1)),OR($O$15&gt;1,$O$17&gt;1)))</f>
        <v>0</v>
      </c>
      <c r="J16" s="399"/>
      <c r="K16" s="316"/>
      <c r="L16" s="316"/>
      <c r="M16" s="129"/>
      <c r="N16" s="317"/>
      <c r="O16" s="330">
        <v>1</v>
      </c>
      <c r="P16" s="313">
        <f>INDEX($J$55:$J$69,$O16,1)+(IF($R16,$J$70,0)*INDEX($F$55:$F$69,$O16,1))+IF($Q16,$J$71,0)+IF(GK4ERR," ",0)</f>
        <v>5</v>
      </c>
      <c r="Q16" s="331" t="b">
        <v>0</v>
      </c>
      <c r="R16" s="129" t="b">
        <f>AND($O16&lt;ECSMASTER,$T16)</f>
        <v>0</v>
      </c>
      <c r="S16" s="314" t="b">
        <f>OR(AND($O16&lt;=NOECS,OR($R16,$Q16)),AND(OR(ProdType=xIPVC,$B15&lt;&gt;4),OR($O16&gt;NOECS,$R16,$Q16)))</f>
        <v>0</v>
      </c>
      <c r="T16" s="332" t="b">
        <v>0</v>
      </c>
      <c r="U16" s="81"/>
    </row>
    <row r="17" spans="1:21" ht="19.5" customHeight="1" thickBot="1">
      <c r="A17" s="78"/>
      <c r="B17" s="248"/>
      <c r="C17" s="422"/>
      <c r="D17" s="236">
        <f>IF(OR(TX4ERR,APP4ERR,VID4ERR,AND($D$6=xNONE,$D$15&lt;&gt;xNONE),AND(MCUnum+GWnum=0,OR(O15&gt;1,$O16&gt;NOECS,O17&gt;1))),1,0)</f>
        <v>0</v>
      </c>
      <c r="E17" s="133"/>
      <c r="F17" s="247"/>
      <c r="G17" s="346"/>
      <c r="H17" s="386">
        <f>IF($D$9&lt;&gt;xVPS10m,0,1)+IF($D$12&lt;&gt;xVPS10m,0,1)+IF($D$15&lt;&gt;xVPS10m,0,1)+IF($D$21&lt;&gt;xVPS10m,0,1)+IF($D$24&lt;&gt;xVPS10m,0,1)+IF($D$27&lt;&gt;xVPS10m,0,1)</f>
        <v>0</v>
      </c>
      <c r="I17" s="356" t="b">
        <f>OR(AND($B$15=xISvps,(CountRM+CountSYM)&gt;MCUnum),AND($B$15=xISvpm,Count10M&gt;(G324num*2)))</f>
        <v>0</v>
      </c>
      <c r="J17" s="400"/>
      <c r="K17" s="327">
        <f>IF(TX4TYPE=xATM15,pATM15,IF(TX4TYPE=xATM30,pATM30,IF(TX4TYPE=xATM20,pATM20,0)))</f>
        <v>0</v>
      </c>
      <c r="L17" s="328" t="b">
        <f>IF(TX4TYPE=xATM0,FALSE,IF(OR(AND(TX4TYPE=xATM20,$D15&lt;&gt;xGW320),AND(TX4TYPE=xATM15,$D15&lt;&gt;xMCU30,$D15&lt;&gt;xMCU60,$D15&lt;&gt;xMCU100),AND(TX4TYPE=xATM30,$D15&lt;&gt;xMCU30,$D15&lt;&gt;xMCU60)),TRUE,FALSE))</f>
        <v>0</v>
      </c>
      <c r="M17" s="328">
        <f>IF(TX4TYPE=xATM15,vATM15,IF(TX4TYPE=xATM30,vATM30,IF(TX4TYPE=xATM20,IF(xGWT1E1=2,vE1,vT1),0)))</f>
        <v>0</v>
      </c>
      <c r="N17" s="329">
        <f>IF(TX4TYPE=xATM15,zATM15,IF(TX4TYPE=xATM30,zATM30,IF(TX4TYPE=xATM20,zATM20,0)))</f>
        <v>0</v>
      </c>
      <c r="O17" s="250">
        <v>1</v>
      </c>
      <c r="P17" s="134"/>
      <c r="Q17" s="134"/>
      <c r="R17" s="134"/>
      <c r="S17" s="251"/>
      <c r="T17" s="210"/>
      <c r="U17" s="81"/>
    </row>
    <row r="18" spans="1:21" ht="19.5" customHeight="1" thickTop="1">
      <c r="A18" s="78"/>
      <c r="B18" s="248">
        <f>IF(OR($D18=xMCU30,$D18=xMCU60,$D18=xMCU100),xISmcu,IF(OR($D18=xGW320,$D18=xGW324),xISgw,IF(OR($D18=xVPSrm,$D18=xVPSsym),xISvps,IF(OR($D18=xASNTpro,$D18=xASNTsvr),xISas,IF($D18=xMVP,xISmvp,IF($D18=xVPS10m,xISvpm,0))))))</f>
        <v>0</v>
      </c>
      <c r="C18" s="418">
        <v>1</v>
      </c>
      <c r="D18" s="233">
        <v>6</v>
      </c>
      <c r="E18" s="124"/>
      <c r="F18" s="243">
        <f>IF(D20=0,$D18,0)</f>
        <v>6</v>
      </c>
      <c r="G18" s="347"/>
      <c r="H18" s="347"/>
      <c r="I18" s="135"/>
      <c r="J18" s="404">
        <f>IF(F18=xNONE,0,CHOOSE(F18,zMCU30,zMCU60,zMCU100,zGW320,zGW324,0,zVPS,zVPS10m,zMVP,zASNTpro,zASNTsvr,zVPS)+TX5LIST+FLOOR(BASELIST/$B$5,1))</f>
        <v>0</v>
      </c>
      <c r="K18" s="139">
        <v>1</v>
      </c>
      <c r="L18" s="125"/>
      <c r="M18" s="125">
        <f>IF($D18&lt;&gt;xGW324,0,1+IF(xGWT1E1=2,1,0)+IF(TX5TYPE=xATM20,2,0))</f>
        <v>0</v>
      </c>
      <c r="N18" s="315">
        <f>IF($D18&lt;&gt;xGW320,0,1+IF(xGWT1E1=2,1,0)+IF(TX5TYPE=xATM20,2,0))</f>
        <v>0</v>
      </c>
      <c r="O18" s="139">
        <v>1</v>
      </c>
      <c r="P18" s="223"/>
      <c r="Q18" s="126"/>
      <c r="R18" s="395"/>
      <c r="S18" s="390"/>
      <c r="T18" s="210"/>
      <c r="U18" s="374"/>
    </row>
    <row r="19" spans="1:21" ht="19.5" customHeight="1">
      <c r="A19" s="78"/>
      <c r="B19" s="248"/>
      <c r="C19" s="419"/>
      <c r="D19" s="234"/>
      <c r="E19" s="231"/>
      <c r="F19" s="244"/>
      <c r="G19" s="388"/>
      <c r="H19" s="348"/>
      <c r="I19" s="232"/>
      <c r="J19" s="399"/>
      <c r="K19" s="129"/>
      <c r="L19" s="313"/>
      <c r="M19" s="333"/>
      <c r="N19" s="334"/>
      <c r="O19" s="249"/>
      <c r="P19" s="391"/>
      <c r="Q19" s="391"/>
      <c r="R19" s="396"/>
      <c r="S19" s="397"/>
      <c r="T19" s="210"/>
      <c r="U19" s="374"/>
    </row>
    <row r="20" spans="1:21" ht="19.5" customHeight="1" thickBot="1">
      <c r="A20" s="78"/>
      <c r="B20" s="248"/>
      <c r="C20" s="420"/>
      <c r="D20" s="238">
        <f>IF(OR(TX5ERR,APP5ERR),1,0)</f>
        <v>0</v>
      </c>
      <c r="E20" s="127"/>
      <c r="F20" s="245" t="b">
        <f>OR(AND(ProdType=xIPVC,OR($O$8&gt;1)),AND(ProdType&lt;&gt;xIPVC,OR($R$7,$S$7)))</f>
        <v>0</v>
      </c>
      <c r="G20" s="389"/>
      <c r="H20" s="349"/>
      <c r="I20" s="254">
        <f>(IF($D$6&lt;&gt;xNONE,1,0)+IF($D$18&lt;&gt;xNONE,1,0))</f>
        <v>1</v>
      </c>
      <c r="J20" s="405"/>
      <c r="K20" s="324">
        <f>IF(TX5TYPE=xATM15,pATM15,IF(TX5TYPE=xATM30,pATM30,IF(TX5TYPE=xATM20,pATM20,0)))</f>
        <v>0</v>
      </c>
      <c r="L20" s="325" t="b">
        <f>IF(TX5TYPE=xATM0,FALSE,IF(OR(AND(TX5TYPE=xATM20,$D18&lt;&gt;xGW320),AND(TX5TYPE=xATM15,$D18&lt;&gt;xMCU30,$D18&lt;&gt;xMCU60,$D18&lt;&gt;xMCU100),AND(TX5TYPE=xATM30,$D18&lt;&gt;xMCU30,$D18&lt;&gt;xMCU60)),TRUE,FALSE))</f>
        <v>0</v>
      </c>
      <c r="M20" s="325">
        <f>IF(TX5TYPE=xATM15,vATM15,IF(TX5TYPE=xATM30,vATM30,IF(TX5TYPE=xATM20,IF(xGWT1E1=2,vE1,vT1),0)))</f>
        <v>0</v>
      </c>
      <c r="N20" s="326">
        <f>IF(TX5TYPE=xATM15,zATM15,IF(TX5TYPE=xATM30,zATM30,IF(TX5TYPE=xATM20,zATM20,0)))</f>
        <v>0</v>
      </c>
      <c r="O20" s="255"/>
      <c r="P20" s="392"/>
      <c r="Q20" s="393"/>
      <c r="R20" s="393"/>
      <c r="S20" s="394"/>
      <c r="T20" s="210"/>
      <c r="U20" s="374"/>
    </row>
    <row r="21" spans="1:21" ht="19.5" customHeight="1">
      <c r="A21" s="78"/>
      <c r="B21" s="248">
        <f>IF(OR($D21=xMCU30,$D21=xMCU60,$D21=xMCU100),xISmcu,IF(OR($D21=xGW320,$D21=xGW324),xISgw,IF(OR($D21=xVPSrm,$D21=xVPSsym),xISvps,IF(OR($D21=xASNTpro,$D21=xASNTsvr),xISas,IF($D21=xMVP,xISmvp,IF($D21=xVPS10m,xISvpm,0))))))</f>
        <v>0</v>
      </c>
      <c r="C21" s="421">
        <v>2</v>
      </c>
      <c r="D21" s="235">
        <v>6</v>
      </c>
      <c r="E21" s="130"/>
      <c r="F21" s="246">
        <f>IF(D23=0,$D21,0)</f>
        <v>6</v>
      </c>
      <c r="G21" s="343"/>
      <c r="H21" s="350"/>
      <c r="I21" s="351"/>
      <c r="J21" s="398">
        <f>IF(F21=xNONE,0,CHOOSE(F21,zMCU30,zMCU60,zMCU100,zGW320,zGW324,0,zVPS,zVPS10m,zMVP,zASNTpro,zASNTsvr,zVPS)+TX6LIST+CHOOSE($O21,0,$J$51,$J$52,$J$53,$J$54)+GK6LIST+CHOOSE($O23,0,$J$72,$J$74,$J$74)+FLOOR(BASELIST/$B$5,1))</f>
        <v>0</v>
      </c>
      <c r="K21" s="140">
        <v>1</v>
      </c>
      <c r="L21" s="131"/>
      <c r="M21" s="131">
        <f>IF($D21&lt;&gt;xGW324,0,1+IF(xGWT1E1=2,1,0)+IF(TX6TYPE=xATM20,2,0))</f>
        <v>0</v>
      </c>
      <c r="N21" s="132">
        <f>IF($D21&lt;&gt;xGW320,0,1+IF(xGWT1E1=2,1,0)+IF(TX6TYPE=xATM20,2,0))</f>
        <v>0</v>
      </c>
      <c r="O21" s="140">
        <v>1</v>
      </c>
      <c r="P21" s="131"/>
      <c r="Q21" s="131"/>
      <c r="R21" s="316"/>
      <c r="S21" s="320"/>
      <c r="T21" s="210"/>
      <c r="U21" s="374"/>
    </row>
    <row r="22" spans="1:21" ht="19.5" customHeight="1">
      <c r="A22" s="78"/>
      <c r="B22" s="248"/>
      <c r="C22" s="419"/>
      <c r="D22" s="234"/>
      <c r="E22" s="231"/>
      <c r="F22" s="244"/>
      <c r="G22" s="344"/>
      <c r="H22" s="352"/>
      <c r="I22" s="353" t="b">
        <f>OR(GK6ERR,IF($B$21=xISas,OR(AND($D$21&lt;&gt;xASNTsvr,$O$23&gt;2),AND(ProdType=xIPVC,$O$23&gt;1)),OR($O$21&gt;1,$O$23&gt;1)))</f>
        <v>0</v>
      </c>
      <c r="J22" s="399"/>
      <c r="K22" s="316"/>
      <c r="L22" s="316"/>
      <c r="M22" s="129"/>
      <c r="N22" s="317"/>
      <c r="O22" s="330">
        <v>1</v>
      </c>
      <c r="P22" s="313">
        <f>INDEX($J$55:$J$69,$O22,1)+(IF($R22,$J$70,0)*INDEX($F$55:$F$69,$O22,1))+IF($Q22,$J$71,0)+IF(GK6ERR," ",0)</f>
        <v>5</v>
      </c>
      <c r="Q22" s="331" t="b">
        <v>0</v>
      </c>
      <c r="R22" s="129" t="b">
        <f>AND($O22&lt;ECSMASTER,$T22)</f>
        <v>0</v>
      </c>
      <c r="S22" s="314" t="b">
        <f>OR(AND($O22&lt;=NOECS,OR($R22,$Q22)),AND(OR(ProdType=xIPVC,$B21&lt;&gt;4),OR($O22&gt;NOECS,$R22,$Q22)))</f>
        <v>0</v>
      </c>
      <c r="T22" s="332" t="b">
        <v>0</v>
      </c>
      <c r="U22" s="374"/>
    </row>
    <row r="23" spans="1:21" ht="19.5" customHeight="1" thickBot="1">
      <c r="A23" s="78"/>
      <c r="B23" s="248"/>
      <c r="C23" s="420"/>
      <c r="D23" s="238">
        <f>IF(OR(TX6ERR,APP6ERR,VID6ERR,AND($D$18=xNONE,$D$21&lt;&gt;xNONE),AND(MCUnum+GWnum=0,OR(O21&gt;1,$O22&gt;NOECS,O23&gt;1))),1,0)</f>
        <v>0</v>
      </c>
      <c r="E23" s="127"/>
      <c r="F23" s="245"/>
      <c r="G23" s="345"/>
      <c r="H23" s="354"/>
      <c r="I23" s="355" t="b">
        <f>OR(AND($B$21=xISvps,(CountRM+CountSYM)&gt;MCUnum),AND($B$21=xISvpm,Count10M&gt;(G324num*2)))</f>
        <v>0</v>
      </c>
      <c r="J23" s="405"/>
      <c r="K23" s="324">
        <f>IF(TX6TYPE=xATM15,pATM15,IF(TX6TYPE=xATM30,pATM30,IF(TX6TYPE=xATM20,pATM20,0)))</f>
        <v>0</v>
      </c>
      <c r="L23" s="325" t="b">
        <f>IF(TX6TYPE=xATM0,FALSE,IF(OR(AND(TX6TYPE=xATM20,$D21&lt;&gt;xGW320),AND(TX6TYPE=xATM15,$D21&lt;&gt;xMCU30,$D21&lt;&gt;xMCU60,$D21&lt;&gt;xMCU100),AND(TX6TYPE=xATM30,$D21&lt;&gt;xMCU30,$D21&lt;&gt;xMCU60)),TRUE,FALSE))</f>
        <v>0</v>
      </c>
      <c r="M23" s="325">
        <f>IF(TX6TYPE=xATM15,vATM15,IF(TX6TYPE=xATM30,vATM30,IF(TX6TYPE=xATM20,IF(xGWT1E1=2,vE1,vT1),0)))</f>
        <v>0</v>
      </c>
      <c r="N23" s="326">
        <f>IF(TX6TYPE=xATM15,zATM15,IF(TX6TYPE=xATM30,zATM30,IF(TX6TYPE=xATM20,zATM20,0)))</f>
        <v>0</v>
      </c>
      <c r="O23" s="249">
        <v>1</v>
      </c>
      <c r="P23" s="128"/>
      <c r="Q23" s="128"/>
      <c r="R23" s="128"/>
      <c r="S23" s="319"/>
      <c r="T23" s="210"/>
      <c r="U23" s="374"/>
    </row>
    <row r="24" spans="1:21" ht="19.5" customHeight="1">
      <c r="A24" s="78"/>
      <c r="B24" s="248">
        <f>IF(OR($D24=xMCU30,$D24=xMCU60,$D24=xMCU100),xISmcu,IF(OR($D24=xGW320,$D24=xGW324),xISgw,IF(OR($D24=xVPSrm,$D24=xVPSsym),xISvps,IF(OR($D24=xASNTpro,$D24=xASNTsvr),xISas,IF($D24=xMVP,xISmvp,IF($D24=xVPS10m,xISvpm,0))))))</f>
        <v>0</v>
      </c>
      <c r="C24" s="421">
        <v>3</v>
      </c>
      <c r="D24" s="235">
        <v>6</v>
      </c>
      <c r="E24" s="130"/>
      <c r="F24" s="246">
        <f>IF(D26=0,$D24,0)</f>
        <v>6</v>
      </c>
      <c r="G24" s="343"/>
      <c r="H24" s="383"/>
      <c r="I24" s="351"/>
      <c r="J24" s="398">
        <f>IF(F24=xNONE,0,CHOOSE(F24,zMCU30,zMCU60,zMCU100,zGW320,zGW324,0,zVPS,zVPS10m,zMVP,zASNTpro,zASNTsvr,zVPS)+TX7LIST+CHOOSE($O24,0,$J$51,$J$52,$J$53,$J$54)+GK7LIST+CHOOSE($O26,0,$J$72,$J$74,$J$74)+FLOOR(BASELIST/$B$5,1))</f>
        <v>0</v>
      </c>
      <c r="K24" s="140">
        <v>1</v>
      </c>
      <c r="L24" s="131"/>
      <c r="M24" s="131">
        <f>IF($D24&lt;&gt;xGW324,0,1+IF(xGWT1E1=2,1,0)+IF(TX7TYPE=xATM20,2,0))</f>
        <v>0</v>
      </c>
      <c r="N24" s="132">
        <f>IF($D24&lt;&gt;xGW320,0,1+IF(xGWT1E1=2,1,0)+IF(TX7TYPE=xATM20,2,0))</f>
        <v>0</v>
      </c>
      <c r="O24" s="140">
        <v>1</v>
      </c>
      <c r="P24" s="131"/>
      <c r="Q24" s="131"/>
      <c r="R24" s="316"/>
      <c r="S24" s="320"/>
      <c r="T24" s="210"/>
      <c r="U24" s="81"/>
    </row>
    <row r="25" spans="1:21" ht="19.5" customHeight="1">
      <c r="A25" s="78"/>
      <c r="B25" s="248"/>
      <c r="C25" s="419"/>
      <c r="D25" s="234"/>
      <c r="E25" s="231"/>
      <c r="F25" s="244"/>
      <c r="G25" s="344"/>
      <c r="H25" s="384"/>
      <c r="I25" s="353" t="b">
        <f>OR(GK7ERR,IF($B$24=xISas,OR(AND($D$24&lt;&gt;xASNTsvr,$O$26&gt;2),AND(ProdType=xIPVC,$O$26&gt;1)),OR($O$24&gt;1,$O$26&gt;1)))</f>
        <v>0</v>
      </c>
      <c r="J25" s="399"/>
      <c r="K25" s="316"/>
      <c r="L25" s="316"/>
      <c r="M25" s="129"/>
      <c r="N25" s="317"/>
      <c r="O25" s="330">
        <v>1</v>
      </c>
      <c r="P25" s="313">
        <f>INDEX($J$55:$J$69,$O25,1)+(IF($R25,$J$70,0)*INDEX($F$55:$F$69,$O25,1))+IF($Q25,$J$71,0)+IF(GK7ERR," ",0)</f>
        <v>5</v>
      </c>
      <c r="Q25" s="331" t="b">
        <v>0</v>
      </c>
      <c r="R25" s="129" t="b">
        <f>AND($O25&lt;ECSMASTER,$T25)</f>
        <v>0</v>
      </c>
      <c r="S25" s="314" t="b">
        <f>OR(AND($O25&lt;=NOECS,OR($R25,$Q25)),AND(OR(ProdType=xIPVC,$B24&lt;&gt;4),OR($O25&gt;NOECS,$R25,$Q25)))</f>
        <v>0</v>
      </c>
      <c r="T25" s="332" t="b">
        <v>0</v>
      </c>
      <c r="U25" s="81"/>
    </row>
    <row r="26" spans="1:21" ht="19.5" customHeight="1" thickBot="1">
      <c r="A26" s="78"/>
      <c r="B26" s="248"/>
      <c r="C26" s="420"/>
      <c r="D26" s="238">
        <f>IF(OR(TX7ERR,APP7ERR,VID7ERR,AND($D$18=xNONE,$D$24&lt;&gt;xNONE),AND(MCUnum+GWnum=0,OR(O24&gt;1,$O25&gt;NOECS,O26&gt;1))),1,0)</f>
        <v>0</v>
      </c>
      <c r="E26" s="127"/>
      <c r="F26" s="245"/>
      <c r="G26" s="345"/>
      <c r="H26" s="385"/>
      <c r="I26" s="355" t="b">
        <f>OR(AND($B$24=xISvps,(CountRM+CountSYM)&gt;MCUnum),AND($B$24=xISvpm,Count10M&gt;(G324num*2)))</f>
        <v>0</v>
      </c>
      <c r="J26" s="405"/>
      <c r="K26" s="324">
        <f>IF(TX7TYPE=xATM15,pATM15,IF(TX7TYPE=xATM30,pATM30,IF(TX7TYPE=xATM20,pATM20,0)))</f>
        <v>0</v>
      </c>
      <c r="L26" s="325" t="b">
        <f>IF(TX7TYPE=xATM0,FALSE,IF(OR(AND(TX7TYPE=xATM20,$D24&lt;&gt;xGW320),AND(TX7TYPE=xATM15,$D24&lt;&gt;xMCU30,$D24&lt;&gt;xMCU60,$D24&lt;&gt;xMCU100),AND(TX7TYPE=xATM30,$D24&lt;&gt;xMCU30,$D24&lt;&gt;xMCU60)),TRUE,FALSE))</f>
        <v>0</v>
      </c>
      <c r="M26" s="325">
        <f>IF(TX7TYPE=xATM15,vATM15,IF(TX7TYPE=xATM30,vATM30,IF(TX7TYPE=xATM20,IF(xGWT1E1=2,vE1,vT1),0)))</f>
        <v>0</v>
      </c>
      <c r="N26" s="326">
        <f>IF(TX7TYPE=xATM15,zATM15,IF(TX7TYPE=xATM30,zATM30,IF(TX7TYPE=xATM20,zATM20,0)))</f>
        <v>0</v>
      </c>
      <c r="O26" s="249">
        <v>1</v>
      </c>
      <c r="P26" s="128"/>
      <c r="Q26" s="128"/>
      <c r="R26" s="128"/>
      <c r="S26" s="319"/>
      <c r="T26" s="210"/>
      <c r="U26" s="81"/>
    </row>
    <row r="27" spans="1:21" ht="19.5" customHeight="1">
      <c r="A27" s="78"/>
      <c r="B27" s="248">
        <f>IF(OR($D27=xMCU30,$D27=xMCU60,$D27=xMCU100),xISmcu,IF(OR($D27=xGW320,$D27=xGW324),xISgw,IF(OR($D27=xVPSrm,$D27=xVPSsym),xISvps,IF(OR($D27=xASNTpro,$D27=xASNTsvr),xISas,IF($D27=xMVP,xISmvp,IF($D27=xVPS10m,xISvpm,0))))))</f>
        <v>0</v>
      </c>
      <c r="C27" s="421">
        <v>4</v>
      </c>
      <c r="D27" s="235">
        <v>6</v>
      </c>
      <c r="E27" s="130"/>
      <c r="F27" s="246">
        <f>IF(D29=0,$D27,0)</f>
        <v>6</v>
      </c>
      <c r="G27" s="343"/>
      <c r="H27" s="383"/>
      <c r="I27" s="351"/>
      <c r="J27" s="398">
        <f>IF(F27=xNONE,0,CHOOSE(F27,zMCU30,zMCU60,zMCU100,zGW320,zGW324,0,zVPS,zVPS10m,zMVP,zASNTpro,zASNTsvr,zVPS)+TX8LIST+CHOOSE($O27,0,$J$51,$J$52,$J$53,$J$54)+GK8LIST+CHOOSE($O29,0,$J$72,$J$74,$J$74)+FLOOR(BASELIST/$B$5,1))</f>
        <v>0</v>
      </c>
      <c r="K27" s="140">
        <v>1</v>
      </c>
      <c r="L27" s="131"/>
      <c r="M27" s="131">
        <f>IF($D27&lt;&gt;xGW324,0,1+IF(xGWT1E1=2,1,0)+IF(TX8TYPE=xATM20,2,0))</f>
        <v>0</v>
      </c>
      <c r="N27" s="132">
        <f>IF($D27&lt;&gt;xGW320,0,1+IF(xGWT1E1=2,1,0)+IF(TX8TYPE=xATM20,2,0))</f>
        <v>0</v>
      </c>
      <c r="O27" s="140">
        <v>1</v>
      </c>
      <c r="P27" s="131"/>
      <c r="Q27" s="131"/>
      <c r="R27" s="316"/>
      <c r="S27" s="320"/>
      <c r="T27" s="210"/>
      <c r="U27" s="81"/>
    </row>
    <row r="28" spans="1:21" ht="19.5" customHeight="1">
      <c r="A28" s="78"/>
      <c r="B28" s="248"/>
      <c r="C28" s="419"/>
      <c r="D28" s="234"/>
      <c r="E28" s="231"/>
      <c r="F28" s="244"/>
      <c r="G28" s="344"/>
      <c r="H28" s="384"/>
      <c r="I28" s="353" t="b">
        <f>OR(GK8ERR,IF($B$27=xISas,OR(AND($D$27&lt;&gt;xASNTsvr,$O$29&gt;2),AND(ProdType=xIPVC,$O$29&gt;1)),OR($O$27&gt;1,$O$29&gt;1)))</f>
        <v>0</v>
      </c>
      <c r="J28" s="399"/>
      <c r="K28" s="316"/>
      <c r="L28" s="316"/>
      <c r="M28" s="129"/>
      <c r="N28" s="317"/>
      <c r="O28" s="330">
        <v>1</v>
      </c>
      <c r="P28" s="313">
        <f>INDEX($J$55:$J$69,$O28,1)+(IF($R28,$J$70,0)*INDEX($F$55:$F$69,$O28,1))+IF($Q28,$J$71,0)+IF(GK8ERR," ",0)</f>
        <v>5</v>
      </c>
      <c r="Q28" s="331" t="b">
        <v>0</v>
      </c>
      <c r="R28" s="129" t="b">
        <f>AND($O28&lt;ECSMASTER,$T28)</f>
        <v>0</v>
      </c>
      <c r="S28" s="314" t="b">
        <f>OR(AND($O28&lt;=NOECS,OR($R28,$Q28)),AND(OR(ProdType=xIPVC,$B27&lt;&gt;4),OR($O28&gt;NOECS,$R28,$Q28)))</f>
        <v>0</v>
      </c>
      <c r="T28" s="332" t="b">
        <v>0</v>
      </c>
      <c r="U28" s="81"/>
    </row>
    <row r="29" spans="1:21" ht="19.5" customHeight="1" thickBot="1">
      <c r="A29" s="78"/>
      <c r="B29" s="248"/>
      <c r="C29" s="422"/>
      <c r="D29" s="236">
        <f>IF(OR(TX8ERR,APP8ERR,VID8ERR,AND($D$18=xNONE,$D$27&lt;&gt;xNONE),AND(MCUnum+GWnum=0,OR(O27&gt;1,$O28&gt;NOECS,O29&gt;1))),1,0)</f>
        <v>0</v>
      </c>
      <c r="E29" s="133"/>
      <c r="F29" s="247"/>
      <c r="G29" s="346"/>
      <c r="H29" s="386"/>
      <c r="I29" s="356" t="b">
        <f>OR(AND($B$27=xISvps,(CountRM+CountSYM)&gt;MCUnum),AND($B$27=xISvpm,Count10M&gt;(G324num*2)))</f>
        <v>0</v>
      </c>
      <c r="J29" s="400"/>
      <c r="K29" s="327">
        <f>IF(TX8TYPE=xATM15,pATM15,IF(TX8TYPE=xATM30,pATM30,IF(TX8TYPE=xATM20,pATM20,0)))</f>
        <v>0</v>
      </c>
      <c r="L29" s="328" t="b">
        <f>IF(TX8TYPE=xATM0,FALSE,IF(OR(AND(TX8TYPE=xATM20,$D27&lt;&gt;xGW320),AND(TX8TYPE=xATM15,$D27&lt;&gt;xMCU30,$D27&lt;&gt;xMCU60,$D27&lt;&gt;xMCU100),AND(TX8TYPE=xATM30,$D27&lt;&gt;xMCU30,$D27&lt;&gt;xMCU60)),TRUE,FALSE))</f>
        <v>0</v>
      </c>
      <c r="M29" s="328">
        <f>IF(TX8TYPE=xATM15,vATM15,IF(TX8TYPE=xATM30,vATM30,IF(TX8TYPE=xATM20,IF(xGWT1E1=2,vE1,vT1),0)))</f>
        <v>0</v>
      </c>
      <c r="N29" s="329">
        <f>IF(TX8TYPE=xATM15,zATM15,IF(TX8TYPE=xATM30,zATM30,IF(TX8TYPE=xATM20,zATM20,0)))</f>
        <v>0</v>
      </c>
      <c r="O29" s="250">
        <v>1</v>
      </c>
      <c r="P29" s="134"/>
      <c r="Q29" s="134"/>
      <c r="R29" s="134"/>
      <c r="S29" s="251"/>
      <c r="T29" s="210"/>
      <c r="U29" s="81"/>
    </row>
    <row r="30" spans="1:21" ht="13.5" thickTop="1">
      <c r="A30" s="78"/>
      <c r="B30" s="117"/>
      <c r="C30" s="117"/>
      <c r="D30" s="340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81"/>
    </row>
    <row r="31" spans="1:21" ht="19.5" customHeight="1" thickBot="1">
      <c r="A31" s="78"/>
      <c r="B31" s="80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80"/>
      <c r="N31" s="114"/>
      <c r="O31" s="114"/>
      <c r="P31" s="114"/>
      <c r="Q31" s="114"/>
      <c r="R31" s="114"/>
      <c r="S31" s="114"/>
      <c r="T31" s="80"/>
      <c r="U31" s="81"/>
    </row>
    <row r="32" spans="1:21" ht="14.25" thickBot="1" thickTop="1">
      <c r="A32" s="78"/>
      <c r="B32" s="165"/>
      <c r="C32" s="66" t="s">
        <v>43</v>
      </c>
      <c r="D32" s="67" t="s">
        <v>44</v>
      </c>
      <c r="E32" s="68"/>
      <c r="F32" s="67"/>
      <c r="G32" s="68"/>
      <c r="H32" s="68"/>
      <c r="I32" s="69"/>
      <c r="J32" s="70" t="s">
        <v>90</v>
      </c>
      <c r="K32" s="71" t="s">
        <v>2</v>
      </c>
      <c r="L32" s="72" t="s">
        <v>3</v>
      </c>
      <c r="M32" s="82"/>
      <c r="N32" s="33" t="s">
        <v>101</v>
      </c>
      <c r="O32" s="29"/>
      <c r="P32" s="30"/>
      <c r="Q32" s="31"/>
      <c r="R32" s="31"/>
      <c r="S32" s="32"/>
      <c r="T32" s="115"/>
      <c r="U32" s="81"/>
    </row>
    <row r="33" spans="1:21" ht="13.5" customHeight="1" thickTop="1">
      <c r="A33" s="78"/>
      <c r="B33" s="166">
        <v>5</v>
      </c>
      <c r="C33" s="89" t="str">
        <f>IF(ProdType=xIPVC,"3544-Chassis","viaIP 400 Chassis")</f>
        <v>viaIP 400 Chassis</v>
      </c>
      <c r="D33" s="215" t="s">
        <v>50</v>
      </c>
      <c r="E33" s="215" t="s">
        <v>51</v>
      </c>
      <c r="F33" s="216" t="s">
        <v>52</v>
      </c>
      <c r="G33" s="217" t="s">
        <v>49</v>
      </c>
      <c r="H33" s="216" t="s">
        <v>48</v>
      </c>
      <c r="I33" s="218" t="s">
        <v>35</v>
      </c>
      <c r="J33" s="213">
        <f aca="true" t="shared" si="0" ref="J33:J77">($S$2*$B33)-($G$2*$S$2*$B33)</f>
        <v>5</v>
      </c>
      <c r="K33" s="224">
        <f>IF(ALLOK,"?",ChassisCount)</f>
        <v>1</v>
      </c>
      <c r="L33" s="214">
        <f aca="true" t="shared" si="1" ref="L33:L77">($J33*$K33)</f>
        <v>5</v>
      </c>
      <c r="M33" s="82"/>
      <c r="N33" s="50" t="s">
        <v>89</v>
      </c>
      <c r="O33" s="51"/>
      <c r="P33" s="52">
        <f>($I$36*($K$35+$K$36))+($I$38*($K$37+$K$38))+($I$40*($K$39+$K$40))</f>
        <v>150</v>
      </c>
      <c r="Q33" s="53" t="s">
        <v>15</v>
      </c>
      <c r="R33" s="54"/>
      <c r="S33" s="55">
        <f>IF($P33=0,0,MCULIST/$P33)</f>
        <v>0.06666666666666667</v>
      </c>
      <c r="T33" s="115"/>
      <c r="U33" s="81"/>
    </row>
    <row r="34" spans="1:21" ht="13.5" customHeight="1">
      <c r="A34" s="78"/>
      <c r="B34" s="166">
        <v>5</v>
      </c>
      <c r="C34" s="212" t="s">
        <v>54</v>
      </c>
      <c r="D34" s="219"/>
      <c r="E34" s="219"/>
      <c r="F34" s="220"/>
      <c r="G34" s="221"/>
      <c r="H34" s="220"/>
      <c r="I34" s="222"/>
      <c r="J34" s="5">
        <f t="shared" si="0"/>
        <v>5</v>
      </c>
      <c r="K34" s="225">
        <f>IF(ALLOK,"?",IF($H$8,ChassisCount,0))</f>
        <v>0</v>
      </c>
      <c r="L34" s="120">
        <f t="shared" si="1"/>
        <v>0</v>
      </c>
      <c r="M34" s="82"/>
      <c r="N34" s="37" t="s">
        <v>42</v>
      </c>
      <c r="O34" s="38"/>
      <c r="P34" s="11">
        <f>IF($B$6=xISmcu,TX1VOICE,0)+IF($B$9=xISmcu,TX2VOICE,0)+IF($B$12=xISmcu,TX3VOICE,0)+IF($B$15=xISmcu,TX4VOICE,0)+IF($B$18=xISmcu,TX5VOICE,0)+IF($B$21=xISmcu,TX6VOICE,0)+IF($B$24=xISmcu,TX7VOICE,0)+IF($B$27=xISmcu,TX8VOICE,0)</f>
        <v>0</v>
      </c>
      <c r="Q34" s="42" t="s">
        <v>23</v>
      </c>
      <c r="R34" s="43"/>
      <c r="S34" s="6">
        <f>IF($P34=0,0,(IF($B$6=xISmcu,TX1LIST,0)+IF($B$9=xISmcu,TX2LIST,0)+IF($B$12=xISmcu,TX3LIST,0)+IF($B$15=xISmcu,TX4LIST,0)+IF($B$18=xISmcu,TX5LIST,0)+IF($B$21=xISmcu,TX6LIST,0)+IF($B$24=xISmcu,TX7LIST,0)+IF($B$27=xISmcu,TX8LIST,0))/$P34)</f>
        <v>0</v>
      </c>
      <c r="T34" s="115"/>
      <c r="U34" s="81"/>
    </row>
    <row r="35" spans="1:21" ht="12.75">
      <c r="A35" s="78"/>
      <c r="B35" s="166">
        <v>5</v>
      </c>
      <c r="C35" s="90" t="str">
        <f>IF(ProdType=xIPVC,"3540-MC03A","mcu-30")</f>
        <v>mcu-30</v>
      </c>
      <c r="D35" s="21">
        <v>30</v>
      </c>
      <c r="E35" s="21">
        <v>25</v>
      </c>
      <c r="F35" s="158">
        <v>20</v>
      </c>
      <c r="G35" s="159">
        <v>15</v>
      </c>
      <c r="H35" s="158">
        <v>4</v>
      </c>
      <c r="I35" s="167"/>
      <c r="J35" s="1">
        <f t="shared" si="0"/>
        <v>5</v>
      </c>
      <c r="K35" s="226">
        <f>IF(ALLOK,"?",IF($F$6=xMCU30,1,0)+IF($F$9=xMCU30,1,0)+IF($F$12=xMCU30,1,0)+IF($F$15=xMCU30,1,0)+IF($F$18=xMCU30,1,0)+IF($F$21=xMCU30,1,0)+IF($F$24=xMCU30,1,0)+IF($F$27=xMCU30,1,0))</f>
        <v>0</v>
      </c>
      <c r="L35" s="118">
        <f t="shared" si="1"/>
        <v>0</v>
      </c>
      <c r="M35" s="82"/>
      <c r="N35" s="56" t="s">
        <v>36</v>
      </c>
      <c r="O35" s="57"/>
      <c r="P35" s="45">
        <f>($D$35*($K$35+$K$36))+($D$37*($K$37+$K$38))+($D$39*($K$39+$K$40))</f>
        <v>100</v>
      </c>
      <c r="Q35" s="58" t="s">
        <v>16</v>
      </c>
      <c r="R35" s="59"/>
      <c r="S35" s="39">
        <f>IF($P35=0,0,MCULIST/$P35)</f>
        <v>0.1</v>
      </c>
      <c r="T35" s="115"/>
      <c r="U35" s="81"/>
    </row>
    <row r="36" spans="1:21" ht="12.75">
      <c r="A36" s="78"/>
      <c r="B36" s="166">
        <v>5</v>
      </c>
      <c r="C36" s="91"/>
      <c r="D36" s="22">
        <v>25</v>
      </c>
      <c r="E36" s="22">
        <v>18</v>
      </c>
      <c r="F36" s="160">
        <v>12</v>
      </c>
      <c r="G36" s="161">
        <v>10</v>
      </c>
      <c r="H36" s="160">
        <v>3</v>
      </c>
      <c r="I36" s="162">
        <v>45</v>
      </c>
      <c r="J36" s="3">
        <f t="shared" si="0"/>
        <v>5</v>
      </c>
      <c r="K36" s="227">
        <f>IF(ALLOK,"?",0)</f>
        <v>0</v>
      </c>
      <c r="L36" s="119">
        <f t="shared" si="1"/>
        <v>0</v>
      </c>
      <c r="M36" s="82"/>
      <c r="N36" s="15" t="s">
        <v>37</v>
      </c>
      <c r="O36" s="106"/>
      <c r="P36" s="9">
        <f>($F$35*($K$35+$K$36))+($F$37*($K$37+$K$38))+($F$39*($K$39+$K$40))</f>
        <v>70</v>
      </c>
      <c r="Q36" s="19" t="s">
        <v>17</v>
      </c>
      <c r="R36" s="20"/>
      <c r="S36" s="35">
        <f>IF($P36=0,0,MCULIST/$P36)</f>
        <v>0.14285714285714285</v>
      </c>
      <c r="T36" s="115"/>
      <c r="U36" s="81"/>
    </row>
    <row r="37" spans="1:21" ht="12.75">
      <c r="A37" s="78"/>
      <c r="B37" s="166">
        <v>5</v>
      </c>
      <c r="C37" s="91" t="str">
        <f>IF(ProdType=xIPVC,"3540-MC06A","mcu-60")</f>
        <v>mcu-60</v>
      </c>
      <c r="D37" s="22">
        <v>60</v>
      </c>
      <c r="E37" s="22">
        <v>50</v>
      </c>
      <c r="F37" s="160">
        <v>40</v>
      </c>
      <c r="G37" s="161">
        <v>30</v>
      </c>
      <c r="H37" s="160">
        <v>9</v>
      </c>
      <c r="I37" s="168"/>
      <c r="J37" s="3">
        <f t="shared" si="0"/>
        <v>5</v>
      </c>
      <c r="K37" s="227">
        <f>IF(ALLOK,"?",IF($F$6=xMCU60,1,0)+IF($F$9=xMCU60,1,0)+IF($F$12=xMCU60,1,0)+IF($F$15=xMCU60,1,0)+IF($F$18=xMCU60,1,0)+IF($F$21=xMCU60,1,0)+IF($F$24=xMCU60,1,0)+IF($F$27=xMCU60,1,0))</f>
        <v>0</v>
      </c>
      <c r="L37" s="119">
        <f t="shared" si="1"/>
        <v>0</v>
      </c>
      <c r="M37" s="82"/>
      <c r="N37" s="15" t="s">
        <v>38</v>
      </c>
      <c r="O37" s="16"/>
      <c r="P37" s="9">
        <f>($G$36*($K$35+$K$36))+($G$38*($K$37+$K$38))+($G$40*($K$39+$K$40))</f>
        <v>35</v>
      </c>
      <c r="Q37" s="19" t="s">
        <v>18</v>
      </c>
      <c r="R37" s="20"/>
      <c r="S37" s="35">
        <f>IF($P37=0,0,MCULIST/$P37)</f>
        <v>0.2857142857142857</v>
      </c>
      <c r="T37" s="115"/>
      <c r="U37" s="81"/>
    </row>
    <row r="38" spans="1:21" ht="12.75">
      <c r="A38" s="78"/>
      <c r="B38" s="166">
        <v>5</v>
      </c>
      <c r="C38" s="91"/>
      <c r="D38" s="22">
        <v>50</v>
      </c>
      <c r="E38" s="22">
        <v>36</v>
      </c>
      <c r="F38" s="160">
        <v>25</v>
      </c>
      <c r="G38" s="161">
        <v>20</v>
      </c>
      <c r="H38" s="160">
        <v>6</v>
      </c>
      <c r="I38" s="162">
        <v>90</v>
      </c>
      <c r="J38" s="3">
        <f t="shared" si="0"/>
        <v>5</v>
      </c>
      <c r="K38" s="227">
        <f>IF(ALLOK,"?",0)</f>
        <v>0</v>
      </c>
      <c r="L38" s="119">
        <f t="shared" si="1"/>
        <v>0</v>
      </c>
      <c r="M38" s="82"/>
      <c r="N38" s="15" t="s">
        <v>39</v>
      </c>
      <c r="O38" s="16"/>
      <c r="P38" s="9">
        <f>($H$35*($K$35+$K$36))+($H$37*($K$37+$K$38))+($H$39*($K$39+$K$40))</f>
        <v>15</v>
      </c>
      <c r="Q38" s="19" t="s">
        <v>19</v>
      </c>
      <c r="R38" s="20"/>
      <c r="S38" s="12">
        <f>IF($P38=0,0,MCULIST/$P38)</f>
        <v>0.6666666666666666</v>
      </c>
      <c r="T38" s="115"/>
      <c r="U38" s="81"/>
    </row>
    <row r="39" spans="1:21" ht="12.75">
      <c r="A39" s="78"/>
      <c r="B39" s="166">
        <v>5</v>
      </c>
      <c r="C39" s="91" t="str">
        <f>IF(ProdType=xIPVC,"3540-MC10A","mcu-100")</f>
        <v>mcu-100</v>
      </c>
      <c r="D39" s="22">
        <v>100</v>
      </c>
      <c r="E39" s="22">
        <v>85</v>
      </c>
      <c r="F39" s="160">
        <v>70</v>
      </c>
      <c r="G39" s="161">
        <v>55</v>
      </c>
      <c r="H39" s="160">
        <v>15</v>
      </c>
      <c r="I39" s="168"/>
      <c r="J39" s="3">
        <f t="shared" si="0"/>
        <v>5</v>
      </c>
      <c r="K39" s="227">
        <f>IF(ALLOK,"?",IF($F$6=xMCU100,1,0)+IF($F$9=xMCU100,1,0)+IF($F$12=xMCU100,1,0)+IF($F$15=xMCU100,1,0)+IF($F$18=xMCU100,1,0)+IF($F$21=xMCU100,1,0)+IF($F$24=xMCU100,1,0)+IF($F$27=xMCU100,1,0))</f>
        <v>1</v>
      </c>
      <c r="L39" s="119">
        <f t="shared" si="1"/>
        <v>5</v>
      </c>
      <c r="M39" s="82"/>
      <c r="N39" s="15" t="s">
        <v>40</v>
      </c>
      <c r="O39" s="16"/>
      <c r="P39" s="9">
        <f>($H$36*($K$35+$K$36))+($H$38*($K$37+$K$38))+($H$40*($K$39+$K$40))</f>
        <v>10</v>
      </c>
      <c r="Q39" s="19" t="s">
        <v>20</v>
      </c>
      <c r="R39" s="20"/>
      <c r="S39" s="35">
        <f>IF($P39=0,0,MCULIST/$P39)</f>
        <v>1</v>
      </c>
      <c r="T39" s="115"/>
      <c r="U39" s="81"/>
    </row>
    <row r="40" spans="1:21" ht="12.75">
      <c r="A40" s="78"/>
      <c r="B40" s="166">
        <v>5</v>
      </c>
      <c r="C40" s="91"/>
      <c r="D40" s="169">
        <v>92</v>
      </c>
      <c r="E40" s="170">
        <v>50</v>
      </c>
      <c r="F40" s="171">
        <v>35</v>
      </c>
      <c r="G40" s="172">
        <v>35</v>
      </c>
      <c r="H40" s="171">
        <v>10</v>
      </c>
      <c r="I40" s="162">
        <v>150</v>
      </c>
      <c r="J40" s="3">
        <f t="shared" si="0"/>
        <v>5</v>
      </c>
      <c r="K40" s="227">
        <f>IF(ALLOK,"?",0)</f>
        <v>0</v>
      </c>
      <c r="L40" s="119">
        <f t="shared" si="1"/>
        <v>0</v>
      </c>
      <c r="M40" s="82"/>
      <c r="N40" s="37" t="s">
        <v>6</v>
      </c>
      <c r="O40" s="38"/>
      <c r="P40" s="11">
        <f>IF($B$6=xISmcu,TX1PORTS,0)+IF($B$9=xISmcu,TX2PORTS,0)+IF($B$12=xISmcu,TX3PORTS,0)+IF($B$15=xISmcu,TX4PORTS,0)+IF($B$18=xISmcu,TX5PORTS,0)+IF($B$21=xISmcu,TX6PORTS,0)+IF($B$24=xISmcu,TX7PORTS,0)+IF($B$27=xISmcu,TX8PORTS,0)</f>
        <v>0</v>
      </c>
      <c r="Q40" s="42" t="s">
        <v>23</v>
      </c>
      <c r="R40" s="43"/>
      <c r="S40" s="6">
        <f>IF($P40=0,0,(IF($B$6=xISmcu,TX1LIST,0)+IF($B$9=xISmcu,TX2LIST,0)+IF($B$12=xISmcu,TX3LIST,0)+IF($B$15=xISmcu,TX4LIST,0)+IF($B$18=xISmcu,TX5LIST,0)+IF($B$21=xISmcu,TX6LIST,0)+IF($B$24=xISmcu,TX7LIST,0)+IF($B$27=xISmcu,TX8LIST,0))/$P40)</f>
        <v>0</v>
      </c>
      <c r="T40" s="115"/>
      <c r="U40" s="81"/>
    </row>
    <row r="41" spans="1:21" ht="12.75">
      <c r="A41" s="78"/>
      <c r="B41" s="166">
        <v>5</v>
      </c>
      <c r="C41" s="92" t="str">
        <f>IF(ProdType=xIPVC,"3540-MC-ATM15","TCM-15")</f>
        <v>TCM-15</v>
      </c>
      <c r="D41" s="173">
        <v>15</v>
      </c>
      <c r="E41" s="180">
        <v>30</v>
      </c>
      <c r="F41" s="379"/>
      <c r="G41" s="379"/>
      <c r="J41" s="3">
        <f t="shared" si="0"/>
        <v>5</v>
      </c>
      <c r="K41" s="227">
        <f>IF(ALLOK,"?",IF(TX1TYPE=xATM15,1,0)+IF(TX2TYPE=xATM15,1,0)+IF(TX3TYPE=xATM15,1,0)+IF(TX4TYPE=xATM15,1,0)+IF(TX5TYPE=xATM15,1,0)+IF(TX6TYPE=xATM15,1,0)+IF(TX7TYPE=xATM15,1,0)+IF(TX8TYPE=xATM15,1,0))</f>
        <v>0</v>
      </c>
      <c r="L41" s="119">
        <f t="shared" si="1"/>
        <v>0</v>
      </c>
      <c r="M41" s="82"/>
      <c r="N41" s="13" t="s">
        <v>73</v>
      </c>
      <c r="O41" s="14"/>
      <c r="P41" s="10">
        <f>($D$36*($K$35+$K$36))+($D$38*($K$37+$K$38))+($D$40*($K$39+$K$40))</f>
        <v>92</v>
      </c>
      <c r="Q41" s="17" t="s">
        <v>21</v>
      </c>
      <c r="R41" s="18"/>
      <c r="S41" s="7">
        <f>IF($P41=0,0,MCULIST/$P41)</f>
        <v>0.10869565217391304</v>
      </c>
      <c r="T41" s="115"/>
      <c r="U41" s="81"/>
    </row>
    <row r="42" spans="1:21" ht="13.5" thickBot="1">
      <c r="A42" s="78"/>
      <c r="B42" s="166">
        <v>5</v>
      </c>
      <c r="C42" s="337" t="str">
        <f>IF(ProdType=xIPVC,"3540-MC-ATM30","TCM-30")</f>
        <v>TCM-30</v>
      </c>
      <c r="D42" s="338">
        <v>30</v>
      </c>
      <c r="E42" s="381">
        <v>60</v>
      </c>
      <c r="F42" s="380"/>
      <c r="G42" s="380"/>
      <c r="H42" s="339">
        <v>2</v>
      </c>
      <c r="J42" s="208">
        <f t="shared" si="0"/>
        <v>5</v>
      </c>
      <c r="K42" s="229">
        <f>IF(ALLOK,"?",IF(TX1TYPE=xATM30,1,0)+IF(TX2TYPE=xATM30,1,0)+IF(TX3TYPE=xATM30,1,0)+IF(TX4TYPE=xATM30,1,0)+IF(TX5TYPE=xATM30,1,0)+IF(TX6TYPE=xATM30,1,0)+IF(TX7TYPE=xATM30,1,0)+IF(TX8TYPE=xATM30,1,0))</f>
        <v>0</v>
      </c>
      <c r="L42" s="209">
        <f t="shared" si="1"/>
        <v>0</v>
      </c>
      <c r="M42" s="82"/>
      <c r="N42" s="15" t="s">
        <v>71</v>
      </c>
      <c r="O42" s="16"/>
      <c r="P42" s="9">
        <f>($F$36*($K$35+$K$36))+($F$38*($K$37+$K$38))+($F$40*($K$39+$K$40))</f>
        <v>35</v>
      </c>
      <c r="Q42" s="19" t="s">
        <v>22</v>
      </c>
      <c r="R42" s="20"/>
      <c r="S42" s="4">
        <f>IF($P42=0,0,MCULIST/$P42)</f>
        <v>0.2857142857142857</v>
      </c>
      <c r="T42" s="115"/>
      <c r="U42" s="81"/>
    </row>
    <row r="43" spans="1:21" ht="12.75">
      <c r="A43" s="78"/>
      <c r="B43" s="166">
        <v>5</v>
      </c>
      <c r="C43" s="358" t="str">
        <f>IF(ProdType=xIPVC,"VNC","VPS (mcu)")</f>
        <v>VPS (mcu)</v>
      </c>
      <c r="D43" s="359"/>
      <c r="E43" s="360" t="s">
        <v>45</v>
      </c>
      <c r="F43" s="361">
        <v>6</v>
      </c>
      <c r="G43" s="362"/>
      <c r="H43" s="360" t="s">
        <v>46</v>
      </c>
      <c r="I43" s="363">
        <v>4</v>
      </c>
      <c r="J43" s="34">
        <f>($S$2*$B43)-($G$2*$S$2*$B43)</f>
        <v>5</v>
      </c>
      <c r="K43" s="228">
        <f>IF(ALLOK,"?",CountRM+CountSYM)</f>
        <v>0</v>
      </c>
      <c r="L43" s="121">
        <f>($J43*$K43)</f>
        <v>0</v>
      </c>
      <c r="M43" s="82"/>
      <c r="N43" s="336"/>
      <c r="O43" s="14"/>
      <c r="P43" s="10"/>
      <c r="Q43" s="17"/>
      <c r="R43" s="18"/>
      <c r="S43" s="12"/>
      <c r="T43" s="115"/>
      <c r="U43" s="81"/>
    </row>
    <row r="44" spans="1:21" ht="12.75">
      <c r="A44" s="78"/>
      <c r="B44" s="166">
        <v>5</v>
      </c>
      <c r="C44" s="364" t="s">
        <v>99</v>
      </c>
      <c r="D44" s="365" t="s">
        <v>100</v>
      </c>
      <c r="E44" s="366"/>
      <c r="F44" s="366"/>
      <c r="G44" s="366"/>
      <c r="H44" s="366"/>
      <c r="I44" s="367">
        <v>1</v>
      </c>
      <c r="J44" s="3">
        <f>($S$2*$B44)-($G$2*$S$2*$B44)</f>
        <v>5</v>
      </c>
      <c r="K44" s="227">
        <f>IF(ALLOK,"?",Count10M)</f>
        <v>0</v>
      </c>
      <c r="L44" s="119">
        <f t="shared" si="1"/>
        <v>0</v>
      </c>
      <c r="M44" s="82"/>
      <c r="N44" s="141" t="s">
        <v>62</v>
      </c>
      <c r="O44" s="142"/>
      <c r="P44" s="239">
        <f>CountRM*$F$43</f>
        <v>0</v>
      </c>
      <c r="Q44" s="145" t="s">
        <v>47</v>
      </c>
      <c r="R44" s="142"/>
      <c r="S44" s="39">
        <f>IF($P44=0,0,TotalRM/$P44)</f>
        <v>0</v>
      </c>
      <c r="T44" s="115"/>
      <c r="U44" s="81"/>
    </row>
    <row r="45" spans="1:21" ht="13.5" thickBot="1">
      <c r="A45" s="78"/>
      <c r="B45" s="166">
        <v>5</v>
      </c>
      <c r="C45" s="368" t="s">
        <v>94</v>
      </c>
      <c r="D45" s="369" t="s">
        <v>95</v>
      </c>
      <c r="E45" s="370"/>
      <c r="F45" s="371"/>
      <c r="G45" s="372"/>
      <c r="H45" s="370"/>
      <c r="I45" s="373"/>
      <c r="J45" s="275">
        <f>($S$2*$B45)-($G$2*$S$2*$B45)</f>
        <v>5</v>
      </c>
      <c r="K45" s="284">
        <f>IF(ALLOK,"?",IF($D$9=xMVP,1,0)+IF($D$12=xMVP,1,0)+IF($D$15=xMVP,1,0)+IF($D$21=xMVP,1,0)+IF($D$24=xMVP,1,0)+IF($D$27=xMVP,1,0))</f>
        <v>0</v>
      </c>
      <c r="L45" s="276">
        <f>($J45*$K45)</f>
        <v>0</v>
      </c>
      <c r="M45" s="82"/>
      <c r="N45" s="143" t="s">
        <v>61</v>
      </c>
      <c r="O45" s="144"/>
      <c r="P45" s="240">
        <f>CountSYM*$I$43</f>
        <v>0</v>
      </c>
      <c r="Q45" s="146" t="s">
        <v>60</v>
      </c>
      <c r="R45" s="144"/>
      <c r="S45" s="35">
        <f>IF($P45=0,0,TotalSYM/$P45)</f>
        <v>0</v>
      </c>
      <c r="T45" s="115"/>
      <c r="U45" s="81"/>
    </row>
    <row r="46" spans="1:21" ht="14.25" thickBot="1" thickTop="1">
      <c r="A46" s="78"/>
      <c r="B46" s="166">
        <v>5</v>
      </c>
      <c r="C46" s="93" t="str">
        <f>IF(ProdType=xIPVC,"3540-GW2P","gw-P20")</f>
        <v>gw-P20</v>
      </c>
      <c r="D46" s="74">
        <v>23</v>
      </c>
      <c r="E46" s="74">
        <v>11</v>
      </c>
      <c r="F46" s="74">
        <v>7</v>
      </c>
      <c r="G46" s="74">
        <v>3</v>
      </c>
      <c r="H46" s="112">
        <v>2</v>
      </c>
      <c r="I46" s="175">
        <v>46</v>
      </c>
      <c r="J46" s="34">
        <f t="shared" si="0"/>
        <v>5</v>
      </c>
      <c r="K46" s="226">
        <f>IF(ALLOK,"?",IF($F$6=xGW320,1,0)+IF($F$9=xGW320,1,0)+IF($F$12=xGW320,1,0)+IF($F$15=xGW320,1,0)+IF($F$18=xGW320,1,0)+IF($F$21=xGW320,1,0)+IF($F$24=xGW320,1,0)+IF($F$27=xGW320,1,0))</f>
        <v>0</v>
      </c>
      <c r="L46" s="121">
        <f t="shared" si="1"/>
        <v>0</v>
      </c>
      <c r="M46" s="82"/>
      <c r="N46" s="33" t="s">
        <v>92</v>
      </c>
      <c r="O46" s="29"/>
      <c r="P46" s="30"/>
      <c r="Q46" s="31"/>
      <c r="R46" s="31"/>
      <c r="S46" s="32"/>
      <c r="T46" s="115"/>
      <c r="U46" s="81"/>
    </row>
    <row r="47" spans="1:21" ht="13.5" thickTop="1">
      <c r="A47" s="78"/>
      <c r="B47" s="166">
        <v>5</v>
      </c>
      <c r="C47" s="94" t="str">
        <f>IF(ProdType=xIPVC,"n/a","gw-P20/M")</f>
        <v>gw-P20/M</v>
      </c>
      <c r="D47" s="176">
        <v>30</v>
      </c>
      <c r="E47" s="177">
        <v>15</v>
      </c>
      <c r="F47" s="177">
        <v>10</v>
      </c>
      <c r="G47" s="177">
        <v>4</v>
      </c>
      <c r="H47" s="178">
        <v>2</v>
      </c>
      <c r="I47" s="294">
        <v>60</v>
      </c>
      <c r="J47" s="3">
        <f t="shared" si="0"/>
        <v>5</v>
      </c>
      <c r="K47" s="227">
        <f>IF(ALLOK,"?",IF($F$6=xGW324,1,0)+IF($F$9=xGW324,1,0)+IF($F$12=xGW324,1,0)+IF($F$15=xGW324,1,0)+IF($F$18=xGW324,1,0)+IF($F$21=xGW324,1,0)+IF($F$24=xGW324,1,0)+IF($F$27=xGW324,1,0))</f>
        <v>0</v>
      </c>
      <c r="L47" s="119">
        <f t="shared" si="1"/>
        <v>0</v>
      </c>
      <c r="M47" s="82"/>
      <c r="N47" s="289" t="s">
        <v>53</v>
      </c>
      <c r="O47" s="290"/>
      <c r="P47" s="52">
        <f>CHOOSE($N$6+1,0,$I$46,$I$47,$I$46,$I$47)+CHOOSE($N$9+1,0,$I$46,$I$47,$I$46,$I$47)+CHOOSE($N$12+1,0,$I$46,$I$47,$I$46,$I$47)+CHOOSE($N$15+1,0,$I$46,$I$47,$I$46,$I$47)+CHOOSE($N$18+1,0,$I$46,$I$47,$I$46,$I$47)+CHOOSE($N$21+1,0,$I$46,$I$47,$I$46,$I$47)+CHOOSE($N$24+1,0,$I$46,$I$47,$I$46,$I$47)+CHOOSE($N$27+1,0,$I$46,$I$47,$I$46,$I$47)</f>
        <v>0</v>
      </c>
      <c r="Q47" s="291" t="s">
        <v>33</v>
      </c>
      <c r="R47" s="292"/>
      <c r="S47" s="293">
        <f>IF($P47=0,0,GWLIST/$P47)</f>
        <v>0</v>
      </c>
      <c r="T47" s="115"/>
      <c r="U47" s="81"/>
    </row>
    <row r="48" spans="1:21" ht="13.5" thickBot="1">
      <c r="A48" s="78"/>
      <c r="B48" s="166">
        <v>5</v>
      </c>
      <c r="C48" s="92" t="str">
        <f>IF(ProdType=xIPVC,"3540-GW-ATM","TCM-20")</f>
        <v>TCM-20</v>
      </c>
      <c r="D48" s="173">
        <v>20</v>
      </c>
      <c r="E48" s="174">
        <v>11</v>
      </c>
      <c r="F48" s="174">
        <v>7</v>
      </c>
      <c r="G48" s="174">
        <v>3</v>
      </c>
      <c r="H48" s="180">
        <v>2</v>
      </c>
      <c r="I48" s="295">
        <v>20</v>
      </c>
      <c r="J48" s="208">
        <f t="shared" si="0"/>
        <v>5</v>
      </c>
      <c r="K48" s="229">
        <f>IF(ALLOK,"?",IF(TX1TYPE=xATM20,1,0)+IF(TX2TYPE=xATM20,1,0)+IF(TX3TYPE=xATM20,1,0)+IF(TX4TYPE=xATM20,1,0)+IF(TX5TYPE=xATM20,1,0)+IF(TX6TYPE=xATM20,1,0)+IF(TX7TYPE=xATM20,1,0)+IF(TX8TYPE=xATM20,1,0))</f>
        <v>0</v>
      </c>
      <c r="L48" s="209">
        <f t="shared" si="1"/>
        <v>0</v>
      </c>
      <c r="M48" s="82"/>
      <c r="N48" s="37" t="s">
        <v>87</v>
      </c>
      <c r="O48" s="38"/>
      <c r="P48" s="11">
        <f>IF($D$6=xGW320,TX1VOICE,0)+IF($D$9=xGW320,TX2VOICE,0)+IF($D$12=xGW320,TX3VOICE,0)+IF($D$15=xGW320,TX4VOICE,0)</f>
        <v>0</v>
      </c>
      <c r="Q48" s="42" t="s">
        <v>86</v>
      </c>
      <c r="R48" s="43"/>
      <c r="S48" s="6">
        <f>IF($P48=0,0,(IF($D$6=xGW320,$N$8,0)+IF($D$9=xGW320,$N$11,0)+IF($D$12=xGW320,$N$14,0)+IF($D$15=xGW320,$N$17,0)+IF($D$18=xGW320,$N$20,0)+IF($D$21=xGW320,$N$23,0)+IF($D$24=xGW320,$N$26,0)+IF($D$27=xGW320,$N$29,0))/$P48)</f>
        <v>0</v>
      </c>
      <c r="T48" s="115"/>
      <c r="U48" s="81"/>
    </row>
    <row r="49" spans="1:21" ht="12.75">
      <c r="A49" s="78"/>
      <c r="B49" s="166">
        <v>5</v>
      </c>
      <c r="C49" s="203" t="str">
        <f>IF(ProdType=xIPVC,"3540-AS","asNT-10 W2K Pro")</f>
        <v>asNT-10 W2K Pro</v>
      </c>
      <c r="D49" s="204">
        <v>20</v>
      </c>
      <c r="E49" s="73">
        <v>15</v>
      </c>
      <c r="F49" s="73">
        <v>8</v>
      </c>
      <c r="G49" s="73">
        <v>4</v>
      </c>
      <c r="H49" s="205">
        <v>2</v>
      </c>
      <c r="I49" s="375"/>
      <c r="J49" s="34">
        <f t="shared" si="0"/>
        <v>5</v>
      </c>
      <c r="K49" s="228">
        <f>IF(ALLOK,"?",IF($F$9=xASNTpro,1,0)+IF($F$12=xASNTpro,1,0)+IF($F$15=xASNTpro,1,0)+IF($F$21=xASNTpro,1,0)+IF($F$24=xASNTpro,1,0)+IF($F$27=xASNTpro,1,0))</f>
        <v>0</v>
      </c>
      <c r="L49" s="121">
        <f t="shared" si="1"/>
        <v>0</v>
      </c>
      <c r="M49" s="82"/>
      <c r="N49" s="60" t="s">
        <v>72</v>
      </c>
      <c r="O49" s="44"/>
      <c r="P49" s="45">
        <f>CHOOSE($N$6+1,0,$D$46,$D$47,$D$48,$D$49)+CHOOSE($N$9+1,0,$D$46,$D$47,$D$48,$D$49)+CHOOSE($N$12+1,0,$D$46,$D$47,$D$48,$D$49)+CHOOSE($N$15+1,0,$D$46,$D$47,$D$48,$D$49)</f>
        <v>0</v>
      </c>
      <c r="Q49" s="46" t="s">
        <v>32</v>
      </c>
      <c r="R49" s="47"/>
      <c r="S49" s="2">
        <f>IF($P49=0,0,GWLIST/$P49)</f>
        <v>0</v>
      </c>
      <c r="T49" s="115"/>
      <c r="U49" s="81"/>
    </row>
    <row r="50" spans="1:21" ht="13.5" thickBot="1">
      <c r="A50" s="78"/>
      <c r="B50" s="166">
        <v>5</v>
      </c>
      <c r="C50" s="107" t="str">
        <f>IF(ProdType=xIPVC,"3540-AS","asNT-10 W2K Svr")</f>
        <v>asNT-10 W2K Svr</v>
      </c>
      <c r="D50" s="376"/>
      <c r="E50" s="377"/>
      <c r="F50" s="377"/>
      <c r="G50" s="377"/>
      <c r="H50" s="377"/>
      <c r="I50" s="378"/>
      <c r="J50" s="5">
        <f t="shared" si="0"/>
        <v>5</v>
      </c>
      <c r="K50" s="225">
        <f>IF(ALLOK,"?",IF($F$9=xASNTsvr,1,0)+IF($F$12=xASNTsvr,1,0)+IF($F$15=xASNTsvr,1,0)+IF($F$18=xASNTsvr,1,0)+IF($F$24=xASNTsvr,1,0)+IF($F$27=xASNTsvr,1,0))</f>
        <v>0</v>
      </c>
      <c r="L50" s="120">
        <f t="shared" si="1"/>
        <v>0</v>
      </c>
      <c r="M50" s="82"/>
      <c r="N50" s="61" t="s">
        <v>84</v>
      </c>
      <c r="O50" s="62"/>
      <c r="P50" s="9">
        <f>CHOOSE($N$6+1,0,$E$46,$E$47,$E$48,$E$49)+CHOOSE($N$9+1,0,$E$46,$E$47,$E$48,$E$49)+CHOOSE($N$12+1,0,$E$46,$E$47,$E$48,$E$49)+CHOOSE($N$15+1,0,$E$46,$E$47,$E$48,$E$49)</f>
        <v>0</v>
      </c>
      <c r="Q50" s="63" t="s">
        <v>85</v>
      </c>
      <c r="R50" s="64"/>
      <c r="S50" s="4">
        <f>IF($P50=0,0,GWLIST/$P50)</f>
        <v>0</v>
      </c>
      <c r="T50" s="115"/>
      <c r="U50" s="81"/>
    </row>
    <row r="51" spans="1:21" ht="12.75">
      <c r="A51" s="78"/>
      <c r="B51" s="166">
        <v>5</v>
      </c>
      <c r="C51" s="96" t="s">
        <v>93</v>
      </c>
      <c r="D51" s="97"/>
      <c r="E51" s="98" t="s">
        <v>28</v>
      </c>
      <c r="F51" s="99">
        <v>30</v>
      </c>
      <c r="G51" s="100"/>
      <c r="H51" s="113">
        <v>18</v>
      </c>
      <c r="I51" s="74">
        <v>7</v>
      </c>
      <c r="J51" s="1">
        <f t="shared" si="0"/>
        <v>5</v>
      </c>
      <c r="K51" s="226">
        <f>IF(ALLOK,"?",IF($O$6=2,1,0)+IF($O$9=2,1,0)+IF($O$12=2,1,0)+IF($O$15=2,1,0)+IF($O$18=2,1,0)+IF($O$21=2,1,0)+IF($O$24=2,1,0)+IF($O$27=2,1,0))</f>
        <v>0</v>
      </c>
      <c r="L51" s="118">
        <f t="shared" si="1"/>
        <v>0</v>
      </c>
      <c r="M51" s="82"/>
      <c r="N51" s="61" t="s">
        <v>76</v>
      </c>
      <c r="O51" s="62"/>
      <c r="P51" s="9">
        <f>CHOOSE($N$6+1,0,$F$46,$F$47,$F$48,$F$49)+CHOOSE($N$9+1,0,$F$46,$F$47,$F$48,$F$49)+CHOOSE($N$12+1,0,$F$46,$F$47,$F$48,$F$49)+CHOOSE($N$15+1,0,$F$46,$F$47,$F$48,$F$49)</f>
        <v>0</v>
      </c>
      <c r="Q51" s="63" t="s">
        <v>34</v>
      </c>
      <c r="R51" s="64"/>
      <c r="S51" s="4">
        <f>IF($P51=0,0,GWLIST/$P51)</f>
        <v>0</v>
      </c>
      <c r="T51" s="115"/>
      <c r="U51" s="81"/>
    </row>
    <row r="52" spans="1:21" ht="12.75">
      <c r="A52" s="78"/>
      <c r="B52" s="166">
        <v>5</v>
      </c>
      <c r="C52" s="95" t="s">
        <v>7</v>
      </c>
      <c r="D52" s="75"/>
      <c r="E52" s="76" t="s">
        <v>28</v>
      </c>
      <c r="F52" s="23">
        <v>60</v>
      </c>
      <c r="G52" s="24"/>
      <c r="H52" s="179">
        <v>18</v>
      </c>
      <c r="I52" s="157">
        <v>8</v>
      </c>
      <c r="J52" s="3">
        <f t="shared" si="0"/>
        <v>5</v>
      </c>
      <c r="K52" s="227">
        <f>IF(ALLOK,"?",IF($O$6=3,1,0)+IF($O$9=3,1,0)+IF($O$12=3,1,0)+IF($O$15=3,1,0)+IF($O$18=3,1,0)+IF($O$21=3,1,0)+IF($O$24=3,1,0)+IF($O$27=3,1,0))</f>
        <v>0</v>
      </c>
      <c r="L52" s="119">
        <f t="shared" si="1"/>
        <v>0</v>
      </c>
      <c r="M52" s="82"/>
      <c r="N52" s="61" t="s">
        <v>80</v>
      </c>
      <c r="O52" s="62"/>
      <c r="P52" s="9">
        <f>CHOOSE($N$6+1,0,$G$46,$G$47,$G$48,$G$49)+CHOOSE($N$9+1,0,$G$46,$G$47,$G$48,$G$49)+CHOOSE($N$12+1,0,$G$46,$G$47,$G$48,$G$49)+CHOOSE($N$15+1,0,$G$46,$G$47,$G$48,$G$49)</f>
        <v>0</v>
      </c>
      <c r="Q52" s="63" t="s">
        <v>82</v>
      </c>
      <c r="R52" s="64"/>
      <c r="S52" s="4">
        <f>IF($P52=0,0,GWLIST/$P52)</f>
        <v>0</v>
      </c>
      <c r="T52" s="115"/>
      <c r="U52" s="81"/>
    </row>
    <row r="53" spans="1:21" ht="12.75">
      <c r="A53" s="78"/>
      <c r="B53" s="166">
        <v>5</v>
      </c>
      <c r="C53" s="95" t="s">
        <v>8</v>
      </c>
      <c r="D53" s="75"/>
      <c r="E53" s="76" t="s">
        <v>28</v>
      </c>
      <c r="F53" s="23">
        <v>100</v>
      </c>
      <c r="G53" s="24"/>
      <c r="H53" s="181">
        <v>13</v>
      </c>
      <c r="I53" s="182">
        <v>7</v>
      </c>
      <c r="J53" s="3">
        <f t="shared" si="0"/>
        <v>5</v>
      </c>
      <c r="K53" s="227">
        <f>IF(ALLOK,"?",IF($O$6=4,1,0)+IF($O$9=4,1,0)+IF($O$12=4,1,0)+IF($O$15=4,1,0)+IF($O$18=4,1,0)+IF($O$21=4,1,0)+IF($O$24=4,1,0)+IF($O$27=4,1,0))</f>
        <v>0</v>
      </c>
      <c r="L53" s="119">
        <f t="shared" si="1"/>
        <v>0</v>
      </c>
      <c r="M53" s="82"/>
      <c r="N53" s="61" t="s">
        <v>81</v>
      </c>
      <c r="O53" s="62"/>
      <c r="P53" s="9">
        <f>CHOOSE($N$6+1,0,$H$46,$H$47,$H$48,$H$49)+CHOOSE($N$9+1,0,$H$46,$H$47,$H$48,$H$49)+CHOOSE($N$12+1,0,$H$46,$H$47,$H$48,$H$49)+CHOOSE($N$15+1,0,$H$46,$H$47,$H$48,$H$49)</f>
        <v>0</v>
      </c>
      <c r="Q53" s="63" t="s">
        <v>83</v>
      </c>
      <c r="R53" s="64"/>
      <c r="S53" s="4">
        <f>IF($P53=0,0,GWLIST/$P53)</f>
        <v>0</v>
      </c>
      <c r="T53" s="115"/>
      <c r="U53" s="81"/>
    </row>
    <row r="54" spans="1:21" ht="12.75">
      <c r="A54" s="78"/>
      <c r="B54" s="166">
        <v>5</v>
      </c>
      <c r="C54" s="107" t="s">
        <v>9</v>
      </c>
      <c r="D54" s="108"/>
      <c r="E54" s="109" t="s">
        <v>28</v>
      </c>
      <c r="F54" s="110">
        <v>300</v>
      </c>
      <c r="G54" s="111"/>
      <c r="H54" s="206">
        <v>13</v>
      </c>
      <c r="I54" s="207">
        <v>7</v>
      </c>
      <c r="J54" s="5">
        <f t="shared" si="0"/>
        <v>5</v>
      </c>
      <c r="K54" s="225">
        <f>IF(ALLOK,"?",IF($O$6=5,1,0)+IF($O$9=5,1,0)+IF($O$12=5,1,0)+IF($O$15=5,1,0+IF($O$18=5,1,0)+IF($O$21=5,1,0)+IF($O$24=5,1,0)+IF($O$27=5,1,0)))</f>
        <v>0</v>
      </c>
      <c r="L54" s="120">
        <f t="shared" si="1"/>
        <v>0</v>
      </c>
      <c r="M54" s="82"/>
      <c r="N54" s="37" t="s">
        <v>88</v>
      </c>
      <c r="O54" s="38"/>
      <c r="P54" s="11">
        <f>IF($D$6=xGW320,TX1PORTS,0)+IF($D$9=xGW320,TX2PORTS,0)+IF($D$12=xGW320,TX3PORTS,0)+IF($D$15=xGW320,TX4PORTS,0)+IF($D$18=xGW320,TX4PORTS,0)+IF($D$21=xGW320,TX6PORTS,0)+IF($D$24=xGW320,TX7PORTS,0)+IF($D$27=xGW320,TX8PORTS,0)</f>
        <v>0</v>
      </c>
      <c r="Q54" s="42" t="s">
        <v>24</v>
      </c>
      <c r="R54" s="43"/>
      <c r="S54" s="6">
        <f>IF($P54=0,0,(IF($D$6=xGW320,$N$8,0)+IF($D$9=xGW320,$N$11,0)+IF($D$12=xGW320,$N$14,0)+IF($D$15=xGW320,$N$17,0)+IF($D$18=xGW320,$N$20,0)+IF($D$21=xGW320,$N$23,0)+IF($D$24=xGW320,$N$26,0)+IF($D$27=xGW320,$N$29,0))/$P54)</f>
        <v>0</v>
      </c>
      <c r="T54" s="115"/>
      <c r="U54" s="81"/>
    </row>
    <row r="55" spans="1:21" ht="12.75">
      <c r="A55" s="78"/>
      <c r="B55" s="166">
        <v>5</v>
      </c>
      <c r="C55" s="96" t="str">
        <f>IF(ProdType=xIPVC,"* None *","* No ECS *")</f>
        <v>* No ECS *</v>
      </c>
      <c r="D55" s="97">
        <v>1</v>
      </c>
      <c r="E55" s="98"/>
      <c r="F55" s="100"/>
      <c r="G55" s="101"/>
      <c r="H55" s="98"/>
      <c r="I55" s="100"/>
      <c r="J55" s="1">
        <f t="shared" si="0"/>
        <v>5</v>
      </c>
      <c r="K55" s="226">
        <f>IF(ALLOK,"?",0)</f>
        <v>0</v>
      </c>
      <c r="L55" s="118">
        <f t="shared" si="1"/>
        <v>0</v>
      </c>
      <c r="M55" s="82"/>
      <c r="N55" s="60" t="s">
        <v>74</v>
      </c>
      <c r="O55" s="44"/>
      <c r="P55" s="45">
        <f>IF($P$64=0,0,CHOOSE($N$6+1,0,$H$51,$H$52,$H$53,$H$54)+CHOOSE($N$9+1,0,$H$51,$H$52,$H$53,$H$54)+CHOOSE($N$12+1,0,$H$51,$H$52,$H$53,$H$54)+CHOOSE($N$15+1,0,$H$51,$H$52,$H$53,$H$54))</f>
        <v>0</v>
      </c>
      <c r="Q55" s="46" t="s">
        <v>77</v>
      </c>
      <c r="R55" s="47"/>
      <c r="S55" s="2">
        <f>IF($P55=0,0,GWLIST/$P55)</f>
        <v>0</v>
      </c>
      <c r="T55" s="115"/>
      <c r="U55" s="81"/>
    </row>
    <row r="56" spans="1:21" ht="12.75">
      <c r="A56" s="78"/>
      <c r="B56" s="166">
        <v>5</v>
      </c>
      <c r="C56" s="95" t="str">
        <f>IF(ProdType=xIPVC,"n/a","ECS-100")</f>
        <v>ECS-100</v>
      </c>
      <c r="D56" s="75">
        <v>2</v>
      </c>
      <c r="E56" s="76" t="s">
        <v>27</v>
      </c>
      <c r="F56" s="24">
        <v>100</v>
      </c>
      <c r="G56" s="25"/>
      <c r="H56" s="76" t="s">
        <v>64</v>
      </c>
      <c r="I56" s="24">
        <v>500</v>
      </c>
      <c r="J56" s="3">
        <f t="shared" si="0"/>
        <v>5</v>
      </c>
      <c r="K56" s="227">
        <f aca="true" t="shared" si="2" ref="K56:K69">IF(ALLOK,"?",IF($O$10=$D56,1,0)+IF($O$13=$D56,1,0)+IF($O$16=$D56,1,0)+IF($O$22=$D56,1,0)+IF($O$25=$D56,1,0)+IF($O$28=$D56,1,0))</f>
        <v>0</v>
      </c>
      <c r="L56" s="119">
        <f t="shared" si="1"/>
        <v>0</v>
      </c>
      <c r="M56" s="82"/>
      <c r="N56" s="261" t="s">
        <v>75</v>
      </c>
      <c r="O56" s="262"/>
      <c r="P56" s="11">
        <f>IF($P$64=0,0,CHOOSE($N$6+1,0,$I$51,$I$52,$I$53,$I$54)+CHOOSE($N$9+1,0,$I$51,$I$52,$I$53,$I$54)+CHOOSE($N$12+1,0,$I$51,$I$52,$I$53,$I$54)+CHOOSE($N$15+1,0,$I$51,$I$52,$I$53,$I$54))</f>
        <v>0</v>
      </c>
      <c r="Q56" s="263" t="s">
        <v>78</v>
      </c>
      <c r="R56" s="264"/>
      <c r="S56" s="6">
        <f>IF($P56=0,0,GWLIST/$P56)</f>
        <v>0</v>
      </c>
      <c r="T56" s="115"/>
      <c r="U56" s="81"/>
    </row>
    <row r="57" spans="1:21" ht="13.5" thickBot="1">
      <c r="A57" s="78"/>
      <c r="B57" s="166">
        <v>5</v>
      </c>
      <c r="C57" s="95" t="str">
        <f>IF(ProdType=xIPVC,"n/a","ECS-100 Alt")</f>
        <v>ECS-100 Alt</v>
      </c>
      <c r="D57" s="75">
        <v>3</v>
      </c>
      <c r="E57" s="76" t="s">
        <v>27</v>
      </c>
      <c r="F57" s="24">
        <v>100</v>
      </c>
      <c r="G57" s="25"/>
      <c r="H57" s="76" t="s">
        <v>64</v>
      </c>
      <c r="I57" s="24">
        <v>500</v>
      </c>
      <c r="J57" s="3">
        <f t="shared" si="0"/>
        <v>5</v>
      </c>
      <c r="K57" s="227">
        <f t="shared" si="2"/>
        <v>0</v>
      </c>
      <c r="L57" s="119">
        <f t="shared" si="1"/>
        <v>0</v>
      </c>
      <c r="M57" s="82"/>
      <c r="N57" s="60" t="s">
        <v>30</v>
      </c>
      <c r="O57" s="44"/>
      <c r="P57" s="45">
        <f>($K$46+$K$47)*$H$42</f>
        <v>0</v>
      </c>
      <c r="Q57" s="46" t="s">
        <v>31</v>
      </c>
      <c r="R57" s="47"/>
      <c r="S57" s="2">
        <f>IF($P57=0,0,GWLIST/$P57)</f>
        <v>0</v>
      </c>
      <c r="T57" s="115"/>
      <c r="U57" s="81"/>
    </row>
    <row r="58" spans="1:21" ht="14.25" thickBot="1" thickTop="1">
      <c r="A58" s="78"/>
      <c r="B58" s="166">
        <v>5</v>
      </c>
      <c r="C58" s="95" t="str">
        <f>IF(ProdType=xIPVC,"n/a","ECS-100 Pro")</f>
        <v>ECS-100 Pro</v>
      </c>
      <c r="D58" s="75">
        <v>4</v>
      </c>
      <c r="E58" s="76" t="s">
        <v>27</v>
      </c>
      <c r="F58" s="24">
        <v>100</v>
      </c>
      <c r="G58" s="25"/>
      <c r="H58" s="76" t="s">
        <v>64</v>
      </c>
      <c r="I58" s="24">
        <v>500</v>
      </c>
      <c r="J58" s="3">
        <f t="shared" si="0"/>
        <v>5</v>
      </c>
      <c r="K58" s="227">
        <f t="shared" si="2"/>
        <v>0</v>
      </c>
      <c r="L58" s="119">
        <f t="shared" si="1"/>
        <v>0</v>
      </c>
      <c r="M58" s="82"/>
      <c r="N58" s="33" t="s">
        <v>96</v>
      </c>
      <c r="O58" s="29"/>
      <c r="P58" s="30"/>
      <c r="Q58" s="31"/>
      <c r="R58" s="31"/>
      <c r="S58" s="32"/>
      <c r="T58" s="115"/>
      <c r="U58" s="81"/>
    </row>
    <row r="59" spans="1:21" ht="13.5" thickTop="1">
      <c r="A59" s="78"/>
      <c r="B59" s="166">
        <v>5</v>
      </c>
      <c r="C59" s="95" t="str">
        <f>IF(ProdType=xIPVC,"n/a","ECS-100 Alt Pro")</f>
        <v>ECS-100 Alt Pro</v>
      </c>
      <c r="D59" s="75">
        <v>5</v>
      </c>
      <c r="E59" s="76" t="s">
        <v>27</v>
      </c>
      <c r="F59" s="24">
        <v>100</v>
      </c>
      <c r="G59" s="25"/>
      <c r="H59" s="76" t="s">
        <v>64</v>
      </c>
      <c r="I59" s="24">
        <v>500</v>
      </c>
      <c r="J59" s="3">
        <f t="shared" si="0"/>
        <v>5</v>
      </c>
      <c r="K59" s="227">
        <f t="shared" si="2"/>
        <v>0</v>
      </c>
      <c r="L59" s="119">
        <f t="shared" si="1"/>
        <v>0</v>
      </c>
      <c r="M59" s="82"/>
      <c r="N59" s="289" t="s">
        <v>97</v>
      </c>
      <c r="O59" s="290"/>
      <c r="P59" s="52">
        <f>CHOOSE($M$6+1,0,$I$46,$I$47,$I$46,$I$47)+CHOOSE($M$9+1,0,$I$46,$I$47,$I$46,$I$47)+CHOOSE($M$12+1,0,$I$46,$I$47,$I$46,$I$47)+CHOOSE($M$15+1,0,$I$46,$I$47,$I$46,$I$47)+CHOOSE($M$18+1,0,$I$46,$I$47,$I$46,$I$47)+CHOOSE($M$21+1,0,$I$46,$I$47,$I$46,$I$47)+CHOOSE($M$24+1,0,$I$46,$I$47,$I$46,$I$47)+CHOOSE($M$27+1,0,$I$46,$I$47,$I$46,$I$47)</f>
        <v>0</v>
      </c>
      <c r="Q59" s="291" t="s">
        <v>98</v>
      </c>
      <c r="R59" s="292"/>
      <c r="S59" s="293">
        <f>IF($P59=0,0,G3LIST/$P59)</f>
        <v>0</v>
      </c>
      <c r="T59" s="115"/>
      <c r="U59" s="81"/>
    </row>
    <row r="60" spans="1:21" ht="13.5" thickBot="1">
      <c r="A60" s="78"/>
      <c r="B60" s="166">
        <v>5</v>
      </c>
      <c r="C60" s="95" t="str">
        <f>IF(ProdType=xIPVC,"n/a","ECS-200")</f>
        <v>ECS-200</v>
      </c>
      <c r="D60" s="75">
        <v>6</v>
      </c>
      <c r="E60" s="76" t="s">
        <v>27</v>
      </c>
      <c r="F60" s="24">
        <v>200</v>
      </c>
      <c r="G60" s="25"/>
      <c r="H60" s="76" t="s">
        <v>64</v>
      </c>
      <c r="I60" s="24">
        <v>1000</v>
      </c>
      <c r="J60" s="3">
        <f t="shared" si="0"/>
        <v>5</v>
      </c>
      <c r="K60" s="227">
        <f t="shared" si="2"/>
        <v>0</v>
      </c>
      <c r="L60" s="119">
        <f t="shared" si="1"/>
        <v>0</v>
      </c>
      <c r="M60" s="82"/>
      <c r="N60" s="143" t="s">
        <v>61</v>
      </c>
      <c r="O60" s="144"/>
      <c r="P60" s="240">
        <f>Count10M*$I$44</f>
        <v>0</v>
      </c>
      <c r="Q60" s="146" t="s">
        <v>60</v>
      </c>
      <c r="R60" s="144"/>
      <c r="S60" s="35">
        <f>IF($P60=0,0,Total10m/$P60)</f>
        <v>0</v>
      </c>
      <c r="T60" s="115"/>
      <c r="U60" s="81"/>
    </row>
    <row r="61" spans="1:21" ht="13.5" thickTop="1">
      <c r="A61" s="78"/>
      <c r="B61" s="166">
        <v>5</v>
      </c>
      <c r="C61" s="95" t="str">
        <f>IF(ProdType=xIPVC,"n/a","ECS-200 Alt")</f>
        <v>ECS-200 Alt</v>
      </c>
      <c r="D61" s="75">
        <v>7</v>
      </c>
      <c r="E61" s="76" t="s">
        <v>27</v>
      </c>
      <c r="F61" s="24">
        <v>200</v>
      </c>
      <c r="G61" s="25"/>
      <c r="H61" s="76" t="s">
        <v>64</v>
      </c>
      <c r="I61" s="24">
        <v>1000</v>
      </c>
      <c r="J61" s="3">
        <f t="shared" si="0"/>
        <v>5</v>
      </c>
      <c r="K61" s="227">
        <f t="shared" si="2"/>
        <v>0</v>
      </c>
      <c r="L61" s="119">
        <f t="shared" si="1"/>
        <v>0</v>
      </c>
      <c r="M61" s="82"/>
      <c r="T61" s="115"/>
      <c r="U61" s="81"/>
    </row>
    <row r="62" spans="1:21" ht="13.5" thickBot="1">
      <c r="A62" s="78"/>
      <c r="B62" s="166">
        <v>5</v>
      </c>
      <c r="C62" s="95" t="str">
        <f>IF(ProdType=xIPVC,"n/a","ECS-200 Pro")</f>
        <v>ECS-200 Pro</v>
      </c>
      <c r="D62" s="75">
        <v>8</v>
      </c>
      <c r="E62" s="76" t="s">
        <v>27</v>
      </c>
      <c r="F62" s="24">
        <v>200</v>
      </c>
      <c r="G62" s="25"/>
      <c r="H62" s="76" t="s">
        <v>64</v>
      </c>
      <c r="I62" s="24">
        <v>1000</v>
      </c>
      <c r="J62" s="3">
        <f t="shared" si="0"/>
        <v>5</v>
      </c>
      <c r="K62" s="227">
        <f t="shared" si="2"/>
        <v>0</v>
      </c>
      <c r="L62" s="119">
        <f t="shared" si="1"/>
        <v>0</v>
      </c>
      <c r="M62" s="82"/>
      <c r="T62" s="115"/>
      <c r="U62" s="81"/>
    </row>
    <row r="63" spans="1:21" ht="14.25" thickBot="1" thickTop="1">
      <c r="A63" s="78"/>
      <c r="B63" s="166">
        <v>5</v>
      </c>
      <c r="C63" s="95" t="str">
        <f>IF(ProdType=xIPVC,"n/a","ECS-200 Alt Pro")</f>
        <v>ECS-200 Alt Pro</v>
      </c>
      <c r="D63" s="75">
        <v>9</v>
      </c>
      <c r="E63" s="76" t="s">
        <v>27</v>
      </c>
      <c r="F63" s="24">
        <v>200</v>
      </c>
      <c r="G63" s="25"/>
      <c r="H63" s="76" t="s">
        <v>64</v>
      </c>
      <c r="I63" s="24">
        <v>1000</v>
      </c>
      <c r="J63" s="3">
        <f t="shared" si="0"/>
        <v>5</v>
      </c>
      <c r="K63" s="227">
        <f t="shared" si="2"/>
        <v>0</v>
      </c>
      <c r="L63" s="119">
        <f t="shared" si="1"/>
        <v>0</v>
      </c>
      <c r="M63" s="82"/>
      <c r="N63" s="33" t="s">
        <v>25</v>
      </c>
      <c r="O63" s="29"/>
      <c r="P63" s="30"/>
      <c r="Q63" s="31"/>
      <c r="R63" s="31"/>
      <c r="S63" s="32"/>
      <c r="T63" s="115"/>
      <c r="U63" s="81"/>
    </row>
    <row r="64" spans="1:21" ht="13.5" thickTop="1">
      <c r="A64" s="78"/>
      <c r="B64" s="166">
        <v>5</v>
      </c>
      <c r="C64" s="95" t="str">
        <f>IF(ProdType=xIPVC,"n/a","ECS-500")</f>
        <v>ECS-500</v>
      </c>
      <c r="D64" s="75">
        <v>10</v>
      </c>
      <c r="E64" s="76" t="s">
        <v>27</v>
      </c>
      <c r="F64" s="24">
        <v>500</v>
      </c>
      <c r="G64" s="25"/>
      <c r="H64" s="76" t="s">
        <v>64</v>
      </c>
      <c r="I64" s="24">
        <v>3000</v>
      </c>
      <c r="J64" s="3">
        <f t="shared" si="0"/>
        <v>5</v>
      </c>
      <c r="K64" s="227">
        <f t="shared" si="2"/>
        <v>0</v>
      </c>
      <c r="L64" s="119">
        <f t="shared" si="1"/>
        <v>0</v>
      </c>
      <c r="M64" s="82"/>
      <c r="N64" s="147" t="s">
        <v>10</v>
      </c>
      <c r="O64" s="148"/>
      <c r="P64" s="48">
        <f>($K$51*$F$51)+($K$52*$F$52)+($K$53*$F$53)+($K$54*$F$54)</f>
        <v>0</v>
      </c>
      <c r="Q64" s="153" t="s">
        <v>11</v>
      </c>
      <c r="R64" s="148"/>
      <c r="S64" s="49">
        <f>IF($P64=0,0,TotalT120/$P64)</f>
        <v>0</v>
      </c>
      <c r="T64" s="115"/>
      <c r="U64" s="81"/>
    </row>
    <row r="65" spans="1:21" ht="12.75">
      <c r="A65" s="78"/>
      <c r="B65" s="166">
        <v>5</v>
      </c>
      <c r="C65" s="95" t="str">
        <f>IF(ProdType=xIPVC,"n/a","ECS-500 Alt")</f>
        <v>ECS-500 Alt</v>
      </c>
      <c r="D65" s="75">
        <v>11</v>
      </c>
      <c r="E65" s="76" t="s">
        <v>27</v>
      </c>
      <c r="F65" s="24">
        <v>500</v>
      </c>
      <c r="G65" s="25"/>
      <c r="H65" s="76" t="s">
        <v>64</v>
      </c>
      <c r="I65" s="24">
        <v>3000</v>
      </c>
      <c r="J65" s="3">
        <f t="shared" si="0"/>
        <v>5</v>
      </c>
      <c r="K65" s="227">
        <f t="shared" si="2"/>
        <v>0</v>
      </c>
      <c r="L65" s="119">
        <f t="shared" si="1"/>
        <v>0</v>
      </c>
      <c r="M65" s="82"/>
      <c r="N65" s="149" t="s">
        <v>55</v>
      </c>
      <c r="O65" s="150"/>
      <c r="P65" s="36">
        <f>($K$72*$F$72)+($K$73*$F$73)+($K$74*$F$74)</f>
        <v>0</v>
      </c>
      <c r="Q65" s="154" t="s">
        <v>56</v>
      </c>
      <c r="R65" s="150"/>
      <c r="S65" s="35">
        <f>IF($P65=0,0,($L$72+$L$73+$L$74)/$P65)</f>
        <v>0</v>
      </c>
      <c r="T65" s="115"/>
      <c r="U65" s="81"/>
    </row>
    <row r="66" spans="1:21" ht="12.75">
      <c r="A66" s="78"/>
      <c r="B66" s="166">
        <v>5</v>
      </c>
      <c r="C66" s="95" t="str">
        <f>IF(ProdType=xIPVC,"n/a","ECS-500 Pro")</f>
        <v>ECS-500 Pro</v>
      </c>
      <c r="D66" s="75">
        <v>12</v>
      </c>
      <c r="E66" s="76" t="s">
        <v>27</v>
      </c>
      <c r="F66" s="24">
        <v>500</v>
      </c>
      <c r="G66" s="25"/>
      <c r="H66" s="76" t="s">
        <v>64</v>
      </c>
      <c r="I66" s="24">
        <v>3000</v>
      </c>
      <c r="J66" s="3">
        <f t="shared" si="0"/>
        <v>5</v>
      </c>
      <c r="K66" s="227">
        <f t="shared" si="2"/>
        <v>0</v>
      </c>
      <c r="L66" s="119">
        <f t="shared" si="1"/>
        <v>0</v>
      </c>
      <c r="M66" s="82"/>
      <c r="N66" s="149" t="s">
        <v>5</v>
      </c>
      <c r="O66" s="150"/>
      <c r="P66" s="240">
        <f>SUMPRODUCT(($K$56:$K$69),($F$56:$F$69))</f>
        <v>0</v>
      </c>
      <c r="Q66" s="154" t="s">
        <v>12</v>
      </c>
      <c r="R66" s="150"/>
      <c r="S66" s="35">
        <f>IF($P66=0,0,TotalGK/$P66)</f>
        <v>0</v>
      </c>
      <c r="T66" s="115"/>
      <c r="U66" s="81"/>
    </row>
    <row r="67" spans="1:21" ht="13.5" thickBot="1">
      <c r="A67" s="78"/>
      <c r="B67" s="166">
        <v>5</v>
      </c>
      <c r="C67" s="95" t="str">
        <f>IF(ProdType=xIPVC,"n/a","ECS-500 Alt Pro")</f>
        <v>ECS-500 Alt Pro</v>
      </c>
      <c r="D67" s="75">
        <v>13</v>
      </c>
      <c r="E67" s="76" t="s">
        <v>27</v>
      </c>
      <c r="F67" s="24">
        <v>500</v>
      </c>
      <c r="G67" s="25"/>
      <c r="H67" s="76" t="s">
        <v>64</v>
      </c>
      <c r="I67" s="24">
        <v>3000</v>
      </c>
      <c r="J67" s="3">
        <f t="shared" si="0"/>
        <v>5</v>
      </c>
      <c r="K67" s="227">
        <f t="shared" si="2"/>
        <v>0</v>
      </c>
      <c r="L67" s="119">
        <f t="shared" si="1"/>
        <v>0</v>
      </c>
      <c r="M67" s="82"/>
      <c r="N67" s="151" t="s">
        <v>4</v>
      </c>
      <c r="O67" s="152"/>
      <c r="P67" s="40">
        <f>SUMPRODUCT(($K$56:$K$69),($I$56:$I$69))</f>
        <v>0</v>
      </c>
      <c r="Q67" s="155" t="s">
        <v>13</v>
      </c>
      <c r="R67" s="152"/>
      <c r="S67" s="41">
        <f>IF($P67=0,0,TotalGK/$P67)</f>
        <v>0</v>
      </c>
      <c r="T67" s="115"/>
      <c r="U67" s="81"/>
    </row>
    <row r="68" spans="1:21" ht="13.5" thickTop="1">
      <c r="A68" s="78"/>
      <c r="B68" s="166">
        <v>5</v>
      </c>
      <c r="C68" s="95" t="str">
        <f>IF(ProdType=xIPVC,"n/a","ECS-Master Pro")</f>
        <v>ECS-Master Pro</v>
      </c>
      <c r="D68" s="75">
        <v>14</v>
      </c>
      <c r="E68" s="76" t="s">
        <v>27</v>
      </c>
      <c r="F68" s="24">
        <v>500</v>
      </c>
      <c r="G68" s="25"/>
      <c r="H68" s="76" t="s">
        <v>64</v>
      </c>
      <c r="I68" s="24">
        <v>3000</v>
      </c>
      <c r="J68" s="3">
        <f>($S$2*$B68)-($G$2*$S$2*$B68)</f>
        <v>5</v>
      </c>
      <c r="K68" s="227">
        <f t="shared" si="2"/>
        <v>0</v>
      </c>
      <c r="L68" s="119">
        <f>($J68*$K68)</f>
        <v>0</v>
      </c>
      <c r="M68" s="82"/>
      <c r="N68" s="305"/>
      <c r="O68" s="306"/>
      <c r="P68" s="307"/>
      <c r="Q68" s="308"/>
      <c r="R68" s="308"/>
      <c r="S68" s="12"/>
      <c r="T68" s="115"/>
      <c r="U68" s="81"/>
    </row>
    <row r="69" spans="1:21" ht="12.75">
      <c r="A69" s="78"/>
      <c r="B69" s="166">
        <v>5</v>
      </c>
      <c r="C69" s="107" t="str">
        <f>IF(ProdType=xIPVC,"n/a","ECS-Master Alt Pro")</f>
        <v>ECS-Master Alt Pro</v>
      </c>
      <c r="D69" s="108">
        <v>15</v>
      </c>
      <c r="E69" s="76" t="s">
        <v>27</v>
      </c>
      <c r="F69" s="24">
        <v>500</v>
      </c>
      <c r="G69" s="25"/>
      <c r="H69" s="76" t="s">
        <v>64</v>
      </c>
      <c r="I69" s="24">
        <v>3000</v>
      </c>
      <c r="J69" s="5">
        <f>($S$2*$B69)-($G$2*$S$2*$B69)</f>
        <v>5</v>
      </c>
      <c r="K69" s="227">
        <f t="shared" si="2"/>
        <v>0</v>
      </c>
      <c r="L69" s="120">
        <f>($J69*$K69)</f>
        <v>0</v>
      </c>
      <c r="M69" s="82"/>
      <c r="N69" s="305"/>
      <c r="O69" s="306"/>
      <c r="P69" s="307"/>
      <c r="Q69" s="308"/>
      <c r="R69" s="308"/>
      <c r="S69" s="12"/>
      <c r="T69" s="115"/>
      <c r="U69" s="81"/>
    </row>
    <row r="70" spans="1:21" ht="12.75">
      <c r="A70" s="78"/>
      <c r="B70" s="166">
        <v>5</v>
      </c>
      <c r="C70" s="96" t="str">
        <f>IF(ProdType=xIPVC,"n/a","ThirdPartyCallCtrl")</f>
        <v>ThirdPartyCallCtrl</v>
      </c>
      <c r="D70" s="97"/>
      <c r="E70" s="309" t="s">
        <v>91</v>
      </c>
      <c r="F70" s="310"/>
      <c r="G70" s="310"/>
      <c r="H70" s="309"/>
      <c r="I70" s="311"/>
      <c r="J70" s="1">
        <f t="shared" si="0"/>
        <v>5</v>
      </c>
      <c r="K70" s="312">
        <f>IF(ALLOK,"?",(IF($R$10,1,0)+IF($R$13,1,0)+IF($R$16,1,0)+IF($R$22,1,0)+IF($R$25,1,0)+IF($R$28,1,0))*$P$66)</f>
        <v>0</v>
      </c>
      <c r="L70" s="118">
        <f t="shared" si="1"/>
        <v>0</v>
      </c>
      <c r="M70" s="82"/>
      <c r="N70" s="61"/>
      <c r="O70" s="302"/>
      <c r="P70" s="303"/>
      <c r="Q70" s="304"/>
      <c r="R70" s="304"/>
      <c r="S70" s="35"/>
      <c r="T70" s="115"/>
      <c r="U70" s="81"/>
    </row>
    <row r="71" spans="1:21" ht="13.5" thickBot="1">
      <c r="A71" s="78"/>
      <c r="B71" s="166">
        <v>5</v>
      </c>
      <c r="C71" s="296" t="str">
        <f>IF(ProdType=xIPVC,"n/a","FirewallSolution")</f>
        <v>FirewallSolution</v>
      </c>
      <c r="D71" s="297"/>
      <c r="E71" s="76" t="s">
        <v>27</v>
      </c>
      <c r="F71" s="24">
        <v>20</v>
      </c>
      <c r="G71" s="300"/>
      <c r="H71" s="299"/>
      <c r="I71" s="301"/>
      <c r="J71" s="3">
        <f t="shared" si="0"/>
        <v>5</v>
      </c>
      <c r="K71" s="298">
        <f>IF(ALLOK,"?",IF($Q$10,1,0)+IF($Q$13,1,0)+IF($Q$16,1,0)+IF($Q$22,1,0)+IF($Q$25,1,0)+IF($Q$28,1,0))</f>
        <v>0</v>
      </c>
      <c r="L71" s="119">
        <f t="shared" si="1"/>
        <v>0</v>
      </c>
      <c r="M71" s="82"/>
      <c r="N71" s="61"/>
      <c r="O71" s="302"/>
      <c r="P71" s="303"/>
      <c r="Q71" s="304"/>
      <c r="R71" s="304"/>
      <c r="S71" s="35"/>
      <c r="T71" s="115"/>
      <c r="U71" s="81"/>
    </row>
    <row r="72" spans="1:21" ht="12.75">
      <c r="A72" s="78"/>
      <c r="B72" s="166">
        <v>5</v>
      </c>
      <c r="C72" s="203" t="str">
        <f>IF(ProdType=xIPVC,"n/a","RSS-1")</f>
        <v>RSS-1</v>
      </c>
      <c r="D72" s="277"/>
      <c r="E72" s="278" t="s">
        <v>63</v>
      </c>
      <c r="F72" s="279">
        <v>15</v>
      </c>
      <c r="G72" s="280"/>
      <c r="H72" s="278" t="s">
        <v>26</v>
      </c>
      <c r="I72" s="281">
        <v>150</v>
      </c>
      <c r="J72" s="34">
        <f t="shared" si="0"/>
        <v>5</v>
      </c>
      <c r="K72" s="228">
        <f>IF(ALLOK,"?",IF($O$8=2,1,0)+IF($O$11=2,1,0)+IF($O$14=2,1,0)+IF($O$17=2,1,0)+IF($O$20=2,1,0)+IF($O$23=2,1,0)+IF($O$26=2,1,0)+IF($O$29=2,1,0))</f>
        <v>0</v>
      </c>
      <c r="L72" s="121">
        <f t="shared" si="1"/>
        <v>0</v>
      </c>
      <c r="M72" s="82"/>
      <c r="N72" s="61"/>
      <c r="O72" s="302"/>
      <c r="P72" s="303"/>
      <c r="Q72" s="304"/>
      <c r="R72" s="304"/>
      <c r="S72" s="35"/>
      <c r="T72" s="115"/>
      <c r="U72" s="81"/>
    </row>
    <row r="73" spans="1:21" ht="12.75">
      <c r="A73" s="78"/>
      <c r="B73" s="166">
        <v>5</v>
      </c>
      <c r="C73" s="95" t="str">
        <f>IF(ProdType=xIPVC,"n/a","RSS-2")</f>
        <v>RSS-2</v>
      </c>
      <c r="D73" s="75"/>
      <c r="E73" s="76" t="s">
        <v>63</v>
      </c>
      <c r="F73" s="24">
        <v>50</v>
      </c>
      <c r="G73" s="25"/>
      <c r="H73" s="76" t="s">
        <v>26</v>
      </c>
      <c r="I73" s="252">
        <v>500</v>
      </c>
      <c r="J73" s="3">
        <f t="shared" si="0"/>
        <v>5</v>
      </c>
      <c r="K73" s="227">
        <f>IF(ALLOK,"?",IF($O$8=3,1,0)+IF($O$11=3,1,0)+IF($O$14=3,1,0)+IF($O$17=3,1,0)+IF($O$20=3,1,0)+IF($O$23=3,1,0)+IF($O$26=3,1,0)+IF($O$29=3,1,0))</f>
        <v>0</v>
      </c>
      <c r="L73" s="119">
        <f t="shared" si="1"/>
        <v>0</v>
      </c>
      <c r="M73" s="82"/>
      <c r="N73" s="61"/>
      <c r="O73" s="302"/>
      <c r="P73" s="303"/>
      <c r="Q73" s="304"/>
      <c r="R73" s="304"/>
      <c r="S73" s="35"/>
      <c r="T73" s="115"/>
      <c r="U73" s="81"/>
    </row>
    <row r="74" spans="1:21" ht="13.5" thickBot="1">
      <c r="A74" s="78"/>
      <c r="B74" s="166">
        <v>5</v>
      </c>
      <c r="C74" s="271" t="str">
        <f>IF(ProdType=xIPVC,"n/a","RSS-3")</f>
        <v>RSS-3</v>
      </c>
      <c r="D74" s="272"/>
      <c r="E74" s="282" t="s">
        <v>63</v>
      </c>
      <c r="F74" s="273">
        <v>100</v>
      </c>
      <c r="G74" s="274"/>
      <c r="H74" s="282" t="s">
        <v>26</v>
      </c>
      <c r="I74" s="283">
        <v>1000</v>
      </c>
      <c r="J74" s="275">
        <f t="shared" si="0"/>
        <v>5</v>
      </c>
      <c r="K74" s="284">
        <f>IF(ALLOK,"?",IF($O$8=4,1,0)+IF($O$11=4,1,0)+IF($O$14=4,1,0)+IF($O$17=4,1,0)+IF($O$20=4,1,0)+IF($O$23=4,1,0)+IF($O$26=4,1,0)+IF($O$29=4,1,0))</f>
        <v>0</v>
      </c>
      <c r="L74" s="276">
        <f t="shared" si="1"/>
        <v>0</v>
      </c>
      <c r="M74" s="116" t="s">
        <v>0</v>
      </c>
      <c r="N74" s="61"/>
      <c r="O74" s="302"/>
      <c r="P74" s="303"/>
      <c r="Q74" s="304"/>
      <c r="R74" s="304"/>
      <c r="S74" s="35"/>
      <c r="T74" s="80"/>
      <c r="U74" s="81"/>
    </row>
    <row r="75" spans="1:21" ht="13.5" customHeight="1" thickBot="1">
      <c r="A75" s="78"/>
      <c r="B75" s="257">
        <v>5</v>
      </c>
      <c r="C75" s="203" t="s">
        <v>65</v>
      </c>
      <c r="D75" s="285" t="s">
        <v>68</v>
      </c>
      <c r="E75" s="286"/>
      <c r="F75" s="287"/>
      <c r="G75" s="287"/>
      <c r="H75" s="286"/>
      <c r="I75" s="288"/>
      <c r="J75" s="34">
        <f t="shared" si="0"/>
        <v>5</v>
      </c>
      <c r="K75" s="228">
        <f>IF(ALLOK,"?",IF($R$7,1,0))</f>
        <v>0</v>
      </c>
      <c r="L75" s="121">
        <f t="shared" si="1"/>
        <v>0</v>
      </c>
      <c r="M75" s="258"/>
      <c r="N75" s="61"/>
      <c r="O75" s="302"/>
      <c r="P75" s="303"/>
      <c r="Q75" s="304"/>
      <c r="R75" s="304"/>
      <c r="S75" s="35"/>
      <c r="T75" s="80"/>
      <c r="U75" s="81"/>
    </row>
    <row r="76" spans="1:21" ht="13.5" customHeight="1" thickTop="1">
      <c r="A76" s="78"/>
      <c r="B76" s="257">
        <v>5</v>
      </c>
      <c r="C76" s="95" t="s">
        <v>66</v>
      </c>
      <c r="D76" s="259" t="s">
        <v>69</v>
      </c>
      <c r="E76" s="265"/>
      <c r="F76" s="266"/>
      <c r="G76" s="266"/>
      <c r="H76" s="265"/>
      <c r="I76" s="267"/>
      <c r="J76" s="3">
        <f t="shared" si="0"/>
        <v>5</v>
      </c>
      <c r="K76" s="227">
        <f>IF(ALLOK,"?",IF($R$7,MCUnum,0))</f>
        <v>0</v>
      </c>
      <c r="L76" s="119">
        <f t="shared" si="1"/>
        <v>0</v>
      </c>
      <c r="M76" s="258"/>
      <c r="N76" s="406">
        <f>S1LIST+S2LIST+S3LIST+S4LIST+S5LIST+S6LIST+S7LIST+S8LIST</f>
        <v>10</v>
      </c>
      <c r="O76" s="407"/>
      <c r="P76" s="410">
        <f>$J$2-$N$76</f>
        <v>0</v>
      </c>
      <c r="Q76" s="411"/>
      <c r="R76" s="414">
        <f>$J$2</f>
        <v>10</v>
      </c>
      <c r="S76" s="415"/>
      <c r="T76" s="80"/>
      <c r="U76" s="81"/>
    </row>
    <row r="77" spans="1:21" ht="13.5" thickBot="1">
      <c r="A77" s="78"/>
      <c r="B77" s="257">
        <v>5</v>
      </c>
      <c r="C77" s="253" t="s">
        <v>67</v>
      </c>
      <c r="D77" s="260" t="s">
        <v>70</v>
      </c>
      <c r="E77" s="268"/>
      <c r="F77" s="269"/>
      <c r="G77" s="269"/>
      <c r="H77" s="268"/>
      <c r="I77" s="270"/>
      <c r="J77" s="8">
        <f t="shared" si="0"/>
        <v>5</v>
      </c>
      <c r="K77" s="230">
        <f>IF(ALLOK,"?",IF($S$7,1,0))</f>
        <v>0</v>
      </c>
      <c r="L77" s="122">
        <f t="shared" si="1"/>
        <v>0</v>
      </c>
      <c r="M77" s="258"/>
      <c r="N77" s="408"/>
      <c r="O77" s="409"/>
      <c r="P77" s="412"/>
      <c r="Q77" s="413"/>
      <c r="R77" s="416"/>
      <c r="S77" s="417"/>
      <c r="T77" s="80"/>
      <c r="U77" s="81"/>
    </row>
    <row r="78" spans="1:21" ht="13.5" thickTop="1">
      <c r="A78" s="79"/>
      <c r="B78" s="83"/>
      <c r="C78" s="83"/>
      <c r="D78" s="84"/>
      <c r="E78" s="85"/>
      <c r="F78" s="86"/>
      <c r="G78" s="86"/>
      <c r="H78" s="86"/>
      <c r="I78" s="86"/>
      <c r="J78" s="83"/>
      <c r="K78" s="83"/>
      <c r="L78" s="83"/>
      <c r="M78" s="83"/>
      <c r="N78" s="102" t="s">
        <v>102</v>
      </c>
      <c r="O78" s="103"/>
      <c r="P78" s="104"/>
      <c r="Q78" s="103"/>
      <c r="R78" s="103"/>
      <c r="S78" s="105"/>
      <c r="T78" s="83"/>
      <c r="U78" s="123"/>
    </row>
    <row r="79" spans="1:21" ht="12.75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</row>
    <row r="80" spans="1:21" ht="13.5" thickBot="1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</row>
    <row r="81" spans="1:21" ht="14.25" thickBot="1" thickTop="1">
      <c r="A81" s="200"/>
      <c r="B81" s="200"/>
      <c r="C81" s="184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6"/>
      <c r="T81" s="200"/>
      <c r="U81" s="200"/>
    </row>
    <row r="82" spans="1:21" ht="13.5" thickTop="1">
      <c r="A82" s="200"/>
      <c r="B82" s="200"/>
      <c r="C82" s="187"/>
      <c r="D82" s="192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4"/>
      <c r="S82" s="188"/>
      <c r="T82" s="200"/>
      <c r="U82" s="200"/>
    </row>
    <row r="83" spans="1:21" ht="60" customHeight="1">
      <c r="A83" s="200"/>
      <c r="B83" s="200"/>
      <c r="C83" s="187"/>
      <c r="D83" s="195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3"/>
      <c r="R83" s="196"/>
      <c r="S83" s="188"/>
      <c r="T83" s="200"/>
      <c r="U83" s="200"/>
    </row>
    <row r="84" spans="1:21" ht="13.5" thickBot="1">
      <c r="A84" s="200"/>
      <c r="B84" s="200"/>
      <c r="C84" s="187"/>
      <c r="D84" s="197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9"/>
      <c r="S84" s="188"/>
      <c r="T84" s="200"/>
      <c r="U84" s="200"/>
    </row>
    <row r="85" spans="1:21" ht="14.25" thickBot="1" thickTop="1">
      <c r="A85" s="200"/>
      <c r="B85" s="200"/>
      <c r="C85" s="189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1"/>
      <c r="T85" s="200"/>
      <c r="U85" s="200"/>
    </row>
    <row r="86" spans="1:21" ht="13.5" thickTop="1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</row>
  </sheetData>
  <sheetProtection password="9813" sheet="1" objects="1" scenarios="1"/>
  <mergeCells count="21">
    <mergeCell ref="C27:C29"/>
    <mergeCell ref="J21:J23"/>
    <mergeCell ref="R76:S77"/>
    <mergeCell ref="C6:C8"/>
    <mergeCell ref="C9:C11"/>
    <mergeCell ref="C12:C14"/>
    <mergeCell ref="C15:C17"/>
    <mergeCell ref="C18:C20"/>
    <mergeCell ref="C21:C23"/>
    <mergeCell ref="C24:C26"/>
    <mergeCell ref="J24:J26"/>
    <mergeCell ref="J27:J29"/>
    <mergeCell ref="J2:K2"/>
    <mergeCell ref="E83:Q83"/>
    <mergeCell ref="J6:J8"/>
    <mergeCell ref="J9:J11"/>
    <mergeCell ref="J12:J14"/>
    <mergeCell ref="J15:J17"/>
    <mergeCell ref="N76:O77"/>
    <mergeCell ref="P76:Q77"/>
    <mergeCell ref="J18:J20"/>
  </mergeCells>
  <conditionalFormatting sqref="H6:I7 G6 H18:I19 G18">
    <cfRule type="cellIs" priority="1" dxfId="0" operator="notEqual" stopIfTrue="1">
      <formula>""</formula>
    </cfRule>
  </conditionalFormatting>
  <conditionalFormatting sqref="C81:C85 S81:S85 D81:R81 D85:R85">
    <cfRule type="expression" priority="2" dxfId="1" stopIfTrue="1">
      <formula>$H$2</formula>
    </cfRule>
  </conditionalFormatting>
  <conditionalFormatting sqref="S11 O11:P11 S23 O23:P23">
    <cfRule type="expression" priority="3" dxfId="2" stopIfTrue="1">
      <formula>AND($C$2&lt;&gt;2,$B$9=4)</formula>
    </cfRule>
  </conditionalFormatting>
  <conditionalFormatting sqref="S14 O14:P14 S26 O26:P26">
    <cfRule type="expression" priority="4" dxfId="2" stopIfTrue="1">
      <formula>AND($C$2&lt;&gt;2,$B$12=4)</formula>
    </cfRule>
  </conditionalFormatting>
  <conditionalFormatting sqref="O17:P17 S17 O29:P29 S29">
    <cfRule type="expression" priority="5" dxfId="2" stopIfTrue="1">
      <formula>AND($C$2&lt;&gt;2,$B$15=4)</formula>
    </cfRule>
  </conditionalFormatting>
  <conditionalFormatting sqref="Q11:R11 Q23:R23">
    <cfRule type="expression" priority="6" dxfId="2" stopIfTrue="1">
      <formula>AND($C$2&lt;&gt;2,$B$9=4,$D$9=xASNTsvr)</formula>
    </cfRule>
  </conditionalFormatting>
  <conditionalFormatting sqref="Q14:R14 Q26:R26">
    <cfRule type="expression" priority="7" dxfId="2" stopIfTrue="1">
      <formula>AND($C$2&lt;&gt;2,$B$12=4,$D$12=xASNTsvr)</formula>
    </cfRule>
  </conditionalFormatting>
  <conditionalFormatting sqref="Q17:R17 Q29:R29">
    <cfRule type="expression" priority="8" dxfId="2" stopIfTrue="1">
      <formula>AND($C$2&lt;&gt;2,$B$15=4,$D$15=xASNTsvr)</formula>
    </cfRule>
  </conditionalFormatting>
  <conditionalFormatting sqref="L6">
    <cfRule type="expression" priority="9" dxfId="3" stopIfTrue="1">
      <formula>OR($D$6=xMCU30,$D$6=xMCU60,$D$6=xMCU100)</formula>
    </cfRule>
  </conditionalFormatting>
  <conditionalFormatting sqref="L9">
    <cfRule type="expression" priority="10" dxfId="3" stopIfTrue="1">
      <formula>OR($D$9=xMCU30,$D$9=xMCU60,$D$9=xMCU100)</formula>
    </cfRule>
  </conditionalFormatting>
  <conditionalFormatting sqref="L12">
    <cfRule type="expression" priority="11" dxfId="3" stopIfTrue="1">
      <formula>OR($D$12=xMCU30,$D$12=xMCU60,$D$12=xMCU100)</formula>
    </cfRule>
  </conditionalFormatting>
  <conditionalFormatting sqref="L15">
    <cfRule type="expression" priority="12" dxfId="3" stopIfTrue="1">
      <formula>OR($D$15=xMCU30,$D$15=xMCU60,$D$15=xMCU100)</formula>
    </cfRule>
  </conditionalFormatting>
  <conditionalFormatting sqref="S64:S75 P64:P75 S47:S57 S33:S45 P33:P45 P47:P57 S59:S60 P59:P60">
    <cfRule type="cellIs" priority="13" dxfId="4" operator="equal" stopIfTrue="1">
      <formula>0</formula>
    </cfRule>
  </conditionalFormatting>
  <conditionalFormatting sqref="K7:L7 K19:L19">
    <cfRule type="expression" priority="14" dxfId="5" stopIfTrue="1">
      <formula>AND($C$2&lt;&gt;2,$O$7&gt;1)</formula>
    </cfRule>
  </conditionalFormatting>
  <conditionalFormatting sqref="S10 S13 S16 S22 S25 S28">
    <cfRule type="cellIs" priority="15" dxfId="0" operator="equal" stopIfTrue="1">
      <formula>TRUE</formula>
    </cfRule>
  </conditionalFormatting>
  <conditionalFormatting sqref="O9:S9">
    <cfRule type="expression" priority="16" dxfId="2" stopIfTrue="1">
      <formula>$B$9=4</formula>
    </cfRule>
  </conditionalFormatting>
  <conditionalFormatting sqref="O15:S15">
    <cfRule type="expression" priority="17" dxfId="2" stopIfTrue="1">
      <formula>$B$15=4</formula>
    </cfRule>
  </conditionalFormatting>
  <conditionalFormatting sqref="O12:S12">
    <cfRule type="expression" priority="18" dxfId="2" stopIfTrue="1">
      <formula>$B$12=4</formula>
    </cfRule>
  </conditionalFormatting>
  <conditionalFormatting sqref="M6">
    <cfRule type="expression" priority="19" dxfId="3" stopIfTrue="1">
      <formula>OR($D$6=xMCU30,$D$6=xMCU60)</formula>
    </cfRule>
  </conditionalFormatting>
  <conditionalFormatting sqref="M9">
    <cfRule type="expression" priority="20" dxfId="3" stopIfTrue="1">
      <formula>OR($D$9=xMCU30,$D$9=xMCU60)</formula>
    </cfRule>
  </conditionalFormatting>
  <conditionalFormatting sqref="M12">
    <cfRule type="expression" priority="21" dxfId="3" stopIfTrue="1">
      <formula>OR($D$12=xMCU30,$D$12=xMCU60)</formula>
    </cfRule>
  </conditionalFormatting>
  <conditionalFormatting sqref="M15">
    <cfRule type="expression" priority="22" dxfId="3" stopIfTrue="1">
      <formula>OR($D$15=xMCU30,$D$15=xMCU60)</formula>
    </cfRule>
  </conditionalFormatting>
  <conditionalFormatting sqref="C9:C17 C21:C29">
    <cfRule type="expression" priority="23" dxfId="6" stopIfTrue="1">
      <formula>$B9=0</formula>
    </cfRule>
  </conditionalFormatting>
  <conditionalFormatting sqref="O10:R10">
    <cfRule type="expression" priority="24" dxfId="0" stopIfTrue="1">
      <formula>GK2ERR</formula>
    </cfRule>
    <cfRule type="expression" priority="25" dxfId="2" stopIfTrue="1">
      <formula>AND(ProdType&lt;&gt;xIPVC,$B$9=4)</formula>
    </cfRule>
  </conditionalFormatting>
  <conditionalFormatting sqref="O13:R13">
    <cfRule type="expression" priority="26" dxfId="0" stopIfTrue="1">
      <formula>GK3ERR</formula>
    </cfRule>
    <cfRule type="expression" priority="27" dxfId="2" stopIfTrue="1">
      <formula>AND(ProdType&lt;&gt;xIPVC,$B$12=4)</formula>
    </cfRule>
  </conditionalFormatting>
  <conditionalFormatting sqref="O16:R16">
    <cfRule type="expression" priority="28" dxfId="0" stopIfTrue="1">
      <formula>GK4ERR</formula>
    </cfRule>
    <cfRule type="expression" priority="29" dxfId="2" stopIfTrue="1">
      <formula>AND(ProdType&lt;&gt;xIPVC,$B$15=4)</formula>
    </cfRule>
  </conditionalFormatting>
  <conditionalFormatting sqref="R7:S7 R19:S19">
    <cfRule type="expression" priority="30" dxfId="5" stopIfTrue="1">
      <formula>ProdType=xIPVC</formula>
    </cfRule>
  </conditionalFormatting>
  <conditionalFormatting sqref="O8:R8 O20:R20">
    <cfRule type="expression" priority="31" dxfId="5" stopIfTrue="1">
      <formula>ProdType&lt;&gt;xIPVC</formula>
    </cfRule>
  </conditionalFormatting>
  <conditionalFormatting sqref="G7:G8">
    <cfRule type="expression" priority="32" dxfId="7" stopIfTrue="1">
      <formula>GWnum&gt;0</formula>
    </cfRule>
  </conditionalFormatting>
  <conditionalFormatting sqref="N6">
    <cfRule type="expression" priority="33" dxfId="7" stopIfTrue="1">
      <formula>D$6=xGW320</formula>
    </cfRule>
  </conditionalFormatting>
  <conditionalFormatting sqref="N9">
    <cfRule type="expression" priority="34" dxfId="7" stopIfTrue="1">
      <formula>$D$9=xGW320</formula>
    </cfRule>
  </conditionalFormatting>
  <conditionalFormatting sqref="N12">
    <cfRule type="expression" priority="35" dxfId="7" stopIfTrue="1">
      <formula>$D$12=xGW320</formula>
    </cfRule>
  </conditionalFormatting>
  <conditionalFormatting sqref="N15">
    <cfRule type="expression" priority="36" dxfId="7" stopIfTrue="1">
      <formula>$D$15=xGW320</formula>
    </cfRule>
  </conditionalFormatting>
  <conditionalFormatting sqref="K6">
    <cfRule type="expression" priority="37" dxfId="0" stopIfTrue="1">
      <formula>TX1ERR</formula>
    </cfRule>
    <cfRule type="expression" priority="38" dxfId="7" stopIfTrue="1">
      <formula>$D$6=xGW320</formula>
    </cfRule>
    <cfRule type="expression" priority="39" dxfId="3" stopIfTrue="1">
      <formula>OR($D$6=xMCU30,$D$6=xMCU60,$D$6=xMCU100)</formula>
    </cfRule>
  </conditionalFormatting>
  <conditionalFormatting sqref="K9">
    <cfRule type="expression" priority="40" dxfId="8" stopIfTrue="1">
      <formula>TX2ERR</formula>
    </cfRule>
    <cfRule type="expression" priority="41" dxfId="7" stopIfTrue="1">
      <formula>$D$9=xGW320</formula>
    </cfRule>
    <cfRule type="expression" priority="42" dxfId="3" stopIfTrue="1">
      <formula>OR($D$9=xMCU30,$D$9=xMCU60,$D$9=xMCU100)</formula>
    </cfRule>
  </conditionalFormatting>
  <conditionalFormatting sqref="K12">
    <cfRule type="expression" priority="43" dxfId="0" stopIfTrue="1">
      <formula>TX3ERR</formula>
    </cfRule>
    <cfRule type="expression" priority="44" dxfId="7" stopIfTrue="1">
      <formula>$D$12=xGW320</formula>
    </cfRule>
    <cfRule type="expression" priority="45" dxfId="3" stopIfTrue="1">
      <formula>OR($D$12=xMCU30,$D$12=xMCU60,$D$12=xMCU100)</formula>
    </cfRule>
  </conditionalFormatting>
  <conditionalFormatting sqref="K15">
    <cfRule type="expression" priority="46" dxfId="0" stopIfTrue="1">
      <formula>TX4ERR</formula>
    </cfRule>
    <cfRule type="expression" priority="47" dxfId="7" stopIfTrue="1">
      <formula>$D$15=xGW320</formula>
    </cfRule>
    <cfRule type="expression" priority="48" dxfId="3" stopIfTrue="1">
      <formula>OR($D$15=xMCU30,$D$15=xMCU60,$D$15=xMCU100)</formula>
    </cfRule>
  </conditionalFormatting>
  <conditionalFormatting sqref="K18">
    <cfRule type="expression" priority="49" dxfId="0" stopIfTrue="1">
      <formula>TX5ERR</formula>
    </cfRule>
    <cfRule type="expression" priority="50" dxfId="7" stopIfTrue="1">
      <formula>$D$18=xGW320</formula>
    </cfRule>
    <cfRule type="expression" priority="51" dxfId="3" stopIfTrue="1">
      <formula>OR($D$18=xMCU30,$D$18=xMCU60,$D$18=xMCU100)</formula>
    </cfRule>
  </conditionalFormatting>
  <conditionalFormatting sqref="K21">
    <cfRule type="expression" priority="52" dxfId="8" stopIfTrue="1">
      <formula>TX6ERR</formula>
    </cfRule>
    <cfRule type="expression" priority="53" dxfId="7" stopIfTrue="1">
      <formula>$D$21=xGW320</formula>
    </cfRule>
    <cfRule type="expression" priority="54" dxfId="3" stopIfTrue="1">
      <formula>OR($D$21=xMCU30,$D$21=xMCU60,$D$21=xMCU100)</formula>
    </cfRule>
  </conditionalFormatting>
  <conditionalFormatting sqref="K24">
    <cfRule type="expression" priority="55" dxfId="0" stopIfTrue="1">
      <formula>TX7ERR</formula>
    </cfRule>
    <cfRule type="expression" priority="56" dxfId="7" stopIfTrue="1">
      <formula>$D$24=xGW320</formula>
    </cfRule>
    <cfRule type="expression" priority="57" dxfId="3" stopIfTrue="1">
      <formula>OR($D$24=xMCU30,$D$24=xMCU60,$D$24=xMCU100)</formula>
    </cfRule>
  </conditionalFormatting>
  <conditionalFormatting sqref="K27">
    <cfRule type="expression" priority="58" dxfId="0" stopIfTrue="1">
      <formula>TX8ERR</formula>
    </cfRule>
    <cfRule type="expression" priority="59" dxfId="7" stopIfTrue="1">
      <formula>$D$27=xGW320</formula>
    </cfRule>
    <cfRule type="expression" priority="60" dxfId="3" stopIfTrue="1">
      <formula>OR($D$27=xMCU30,$D$27=xMCU60,$D$27=xMCU100)</formula>
    </cfRule>
  </conditionalFormatting>
  <conditionalFormatting sqref="L18">
    <cfRule type="expression" priority="61" dxfId="3" stopIfTrue="1">
      <formula>OR($D$18=xMCU30,$D$18=xMCU60,$D$18=xMCU100)</formula>
    </cfRule>
  </conditionalFormatting>
  <conditionalFormatting sqref="M18">
    <cfRule type="expression" priority="62" dxfId="3" stopIfTrue="1">
      <formula>OR($D$18=xMCU30,$D$18=xMCU60)</formula>
    </cfRule>
  </conditionalFormatting>
  <conditionalFormatting sqref="N18">
    <cfRule type="expression" priority="63" dxfId="7" stopIfTrue="1">
      <formula>D$18=xGW320</formula>
    </cfRule>
  </conditionalFormatting>
  <conditionalFormatting sqref="L21">
    <cfRule type="expression" priority="64" dxfId="3" stopIfTrue="1">
      <formula>OR($D$21=xMCU30,$D$21=xMCU60,$D$21=xMCU100)</formula>
    </cfRule>
  </conditionalFormatting>
  <conditionalFormatting sqref="M21">
    <cfRule type="expression" priority="65" dxfId="3" stopIfTrue="1">
      <formula>OR($D$21=xMCU30,$D$21=xMCU60)</formula>
    </cfRule>
  </conditionalFormatting>
  <conditionalFormatting sqref="N21">
    <cfRule type="expression" priority="66" dxfId="7" stopIfTrue="1">
      <formula>$D$21=xGW320</formula>
    </cfRule>
  </conditionalFormatting>
  <conditionalFormatting sqref="L24">
    <cfRule type="expression" priority="67" dxfId="3" stopIfTrue="1">
      <formula>OR($D$24=xMCU30,$D$24=xMCU60,$D$24=xMCU100)</formula>
    </cfRule>
  </conditionalFormatting>
  <conditionalFormatting sqref="M24">
    <cfRule type="expression" priority="68" dxfId="3" stopIfTrue="1">
      <formula>OR($D$24=xMCU30,$D$24=xMCU60)</formula>
    </cfRule>
  </conditionalFormatting>
  <conditionalFormatting sqref="N24">
    <cfRule type="expression" priority="69" dxfId="7" stopIfTrue="1">
      <formula>$D$24=xGW320</formula>
    </cfRule>
  </conditionalFormatting>
  <conditionalFormatting sqref="L27">
    <cfRule type="expression" priority="70" dxfId="3" stopIfTrue="1">
      <formula>OR($D$27=xMCU30,$D$27=xMCU60,$D$27=xMCU100)</formula>
    </cfRule>
  </conditionalFormatting>
  <conditionalFormatting sqref="M27">
    <cfRule type="expression" priority="71" dxfId="3" stopIfTrue="1">
      <formula>OR($D$27=xMCU30,$D$27=xMCU60)</formula>
    </cfRule>
  </conditionalFormatting>
  <conditionalFormatting sqref="N27">
    <cfRule type="expression" priority="72" dxfId="7" stopIfTrue="1">
      <formula>$D$27=xGW320</formula>
    </cfRule>
  </conditionalFormatting>
  <conditionalFormatting sqref="O21:S21">
    <cfRule type="expression" priority="73" dxfId="2" stopIfTrue="1">
      <formula>$B$21=4</formula>
    </cfRule>
  </conditionalFormatting>
  <conditionalFormatting sqref="O22:R22">
    <cfRule type="expression" priority="74" dxfId="0" stopIfTrue="1">
      <formula>GK6ERR</formula>
    </cfRule>
    <cfRule type="expression" priority="75" dxfId="2" stopIfTrue="1">
      <formula>AND(ProdType&lt;&gt;xIPVC,$B$21=4)</formula>
    </cfRule>
  </conditionalFormatting>
  <conditionalFormatting sqref="O24:S24">
    <cfRule type="expression" priority="76" dxfId="2" stopIfTrue="1">
      <formula>$B$24=4</formula>
    </cfRule>
  </conditionalFormatting>
  <conditionalFormatting sqref="O25:R25">
    <cfRule type="expression" priority="77" dxfId="0" stopIfTrue="1">
      <formula>GK7ERR</formula>
    </cfRule>
    <cfRule type="expression" priority="78" dxfId="2" stopIfTrue="1">
      <formula>AND(ProdType&lt;&gt;xIPVC,$B$24=4)</formula>
    </cfRule>
  </conditionalFormatting>
  <conditionalFormatting sqref="O27:S27">
    <cfRule type="expression" priority="79" dxfId="2" stopIfTrue="1">
      <formula>$B$27=4</formula>
    </cfRule>
  </conditionalFormatting>
  <conditionalFormatting sqref="O28:R28">
    <cfRule type="expression" priority="80" dxfId="0" stopIfTrue="1">
      <formula>GK8ERR</formula>
    </cfRule>
    <cfRule type="expression" priority="81" dxfId="2" stopIfTrue="1">
      <formula>AND(ProdType&lt;&gt;xIPVC,$B$27=4)</formula>
    </cfRule>
  </conditionalFormatting>
  <conditionalFormatting sqref="J6:J8">
    <cfRule type="expression" priority="82" dxfId="9" stopIfTrue="1">
      <formula>$D$8&lt;&gt;0</formula>
    </cfRule>
    <cfRule type="cellIs" priority="83" dxfId="10" operator="equal" stopIfTrue="1">
      <formula>0</formula>
    </cfRule>
  </conditionalFormatting>
  <conditionalFormatting sqref="J9:J11">
    <cfRule type="expression" priority="84" dxfId="9" stopIfTrue="1">
      <formula>$D$11&lt;&gt;0</formula>
    </cfRule>
    <cfRule type="cellIs" priority="85" dxfId="10" operator="equal" stopIfTrue="1">
      <formula>0</formula>
    </cfRule>
  </conditionalFormatting>
  <conditionalFormatting sqref="J12:J14">
    <cfRule type="expression" priority="86" dxfId="9" stopIfTrue="1">
      <formula>$D$14&lt;&gt;0</formula>
    </cfRule>
    <cfRule type="cellIs" priority="87" dxfId="10" operator="equal" stopIfTrue="1">
      <formula>0</formula>
    </cfRule>
  </conditionalFormatting>
  <conditionalFormatting sqref="J15:J17">
    <cfRule type="expression" priority="88" dxfId="9" stopIfTrue="1">
      <formula>$D$17&lt;&gt;0</formula>
    </cfRule>
    <cfRule type="cellIs" priority="89" dxfId="10" operator="equal" stopIfTrue="1">
      <formula>0</formula>
    </cfRule>
  </conditionalFormatting>
  <conditionalFormatting sqref="J18:J20">
    <cfRule type="expression" priority="90" dxfId="9" stopIfTrue="1">
      <formula>$D$20&lt;&gt;0</formula>
    </cfRule>
    <cfRule type="cellIs" priority="91" dxfId="10" operator="equal" stopIfTrue="1">
      <formula>0</formula>
    </cfRule>
  </conditionalFormatting>
  <conditionalFormatting sqref="J21:J23">
    <cfRule type="expression" priority="92" dxfId="9" stopIfTrue="1">
      <formula>$D$23&lt;&gt;0</formula>
    </cfRule>
    <cfRule type="cellIs" priority="93" dxfId="10" operator="equal" stopIfTrue="1">
      <formula>0</formula>
    </cfRule>
  </conditionalFormatting>
  <conditionalFormatting sqref="J24:J26">
    <cfRule type="expression" priority="94" dxfId="9" stopIfTrue="1">
      <formula>$D$26&lt;&gt;0</formula>
    </cfRule>
    <cfRule type="cellIs" priority="95" dxfId="10" operator="equal" stopIfTrue="1">
      <formula>0</formula>
    </cfRule>
  </conditionalFormatting>
  <conditionalFormatting sqref="J27:J29">
    <cfRule type="expression" priority="96" dxfId="9" stopIfTrue="1">
      <formula>$D$29&lt;&gt;0</formula>
    </cfRule>
    <cfRule type="cellIs" priority="97" dxfId="1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scale="34" r:id="rId4"/>
  <headerFooter alignWithMargins="0">
    <oddFooter>&amp;L&amp;D &amp;T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Polycom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4-Slot cPCI Chassis Pricing</dc:title>
  <dc:subject/>
  <dc:creator>KT</dc:creator>
  <cp:keywords/>
  <dc:description/>
  <cp:lastModifiedBy>Chase Topits.</cp:lastModifiedBy>
  <cp:lastPrinted>2003-06-09T05:21:10Z</cp:lastPrinted>
  <dcterms:created xsi:type="dcterms:W3CDTF">2000-11-22T13:10:48Z</dcterms:created>
  <dcterms:modified xsi:type="dcterms:W3CDTF">2003-06-10T00:21:05Z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